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eadoo.sharepoint.com/sites/EUProjekti/Shared Documents/Horizon 2020/SmartEPC/3_Smart_EPC_Work_Programme/WP3/T_3.1_Standardized_SMART_EPC_concept_documentation/D.3.1_Standardised_SMART_EPC_concept_documentation/2_Final_concept_documentation/"/>
    </mc:Choice>
  </mc:AlternateContent>
  <xr:revisionPtr revIDLastSave="0" documentId="8_{106D30D5-BC24-4059-A5DF-13F046782596}" xr6:coauthVersionLast="47" xr6:coauthVersionMax="47" xr10:uidLastSave="{00000000-0000-0000-0000-000000000000}"/>
  <bookViews>
    <workbookView xWindow="4680" yWindow="740" windowWidth="29400" windowHeight="18380" xr2:uid="{B936448C-5CDC-AF4A-AFA8-25B0D12F7962}"/>
  </bookViews>
  <sheets>
    <sheet name="START" sheetId="16" r:id="rId1"/>
    <sheet name="Input_lamppost" sheetId="1" r:id="rId2"/>
    <sheet name="Input_lighting_classes" sheetId="12" r:id="rId3"/>
    <sheet name="Input_characteristic_profile" sheetId="3" r:id="rId4"/>
    <sheet name="base" sheetId="14" r:id="rId5"/>
    <sheet name="Input_reference_conditions" sheetId="2" r:id="rId6"/>
    <sheet name="Input_price_assumptions" sheetId="5" r:id="rId7"/>
    <sheet name="Analytic" sheetId="4" r:id="rId8"/>
    <sheet name="Summary" sheetId="15" r:id="rId9"/>
  </sheets>
  <definedNames>
    <definedName name="_xlnm._FilterDatabase" localSheetId="1" hidden="1">Input_lamppost!$A$1:$AK$9014</definedName>
    <definedName name="_xlnm._FilterDatabase" localSheetId="5" hidden="1">Input_reference_conditions!$A$51:$F$69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6" i="14" l="1"/>
  <c r="E85" i="14"/>
  <c r="E84" i="14"/>
  <c r="E83" i="14"/>
  <c r="E82" i="14"/>
  <c r="E81" i="14"/>
  <c r="E80" i="14"/>
  <c r="E79" i="14"/>
  <c r="L3" i="4" l="1"/>
  <c r="C41" i="2"/>
  <c r="G41" i="2" s="1"/>
  <c r="C42" i="2"/>
  <c r="G42" i="2" s="1"/>
  <c r="C43" i="2"/>
  <c r="G43" i="2" s="1"/>
  <c r="C40" i="2"/>
  <c r="G40" i="2" s="1"/>
  <c r="G44" i="2"/>
  <c r="N23" i="12"/>
  <c r="M23" i="12"/>
  <c r="K23" i="12"/>
  <c r="J23" i="12"/>
  <c r="H23" i="12"/>
  <c r="G23" i="12"/>
  <c r="E23" i="12"/>
  <c r="D23" i="12"/>
  <c r="N22" i="12"/>
  <c r="M22" i="12"/>
  <c r="K22" i="12"/>
  <c r="J22" i="12"/>
  <c r="H22" i="12"/>
  <c r="G22" i="12"/>
  <c r="E22" i="12"/>
  <c r="D22" i="12"/>
  <c r="N21" i="12"/>
  <c r="M21" i="12"/>
  <c r="K21" i="12"/>
  <c r="J21" i="12"/>
  <c r="H21" i="12"/>
  <c r="G21" i="12"/>
  <c r="E21" i="12"/>
  <c r="D21" i="12"/>
  <c r="N20" i="12"/>
  <c r="M20" i="12"/>
  <c r="K20" i="12"/>
  <c r="J20" i="12"/>
  <c r="H20" i="12"/>
  <c r="G20" i="12"/>
  <c r="E20" i="12"/>
  <c r="D20" i="12"/>
  <c r="N19" i="12"/>
  <c r="M19" i="12"/>
  <c r="K19" i="12"/>
  <c r="J19" i="12"/>
  <c r="H19" i="12"/>
  <c r="G19" i="12"/>
  <c r="E19" i="12"/>
  <c r="D19" i="12"/>
  <c r="N18" i="12"/>
  <c r="N24" i="12" s="1"/>
  <c r="M18" i="12"/>
  <c r="K18" i="12"/>
  <c r="K24" i="12" s="1"/>
  <c r="J18" i="12"/>
  <c r="H18" i="12"/>
  <c r="H24" i="12" s="1"/>
  <c r="G18" i="12"/>
  <c r="E18" i="12"/>
  <c r="D18" i="12"/>
  <c r="N11" i="12"/>
  <c r="M11" i="12"/>
  <c r="K11" i="12"/>
  <c r="J11" i="12"/>
  <c r="H11" i="12"/>
  <c r="G11" i="12"/>
  <c r="E11" i="12"/>
  <c r="D11" i="12"/>
  <c r="N10" i="12"/>
  <c r="M10" i="12"/>
  <c r="K10" i="12"/>
  <c r="J10" i="12"/>
  <c r="H10" i="12"/>
  <c r="G10" i="12"/>
  <c r="E10" i="12"/>
  <c r="D10" i="12"/>
  <c r="N9" i="12"/>
  <c r="M9" i="12"/>
  <c r="K9" i="12"/>
  <c r="J9" i="12"/>
  <c r="H9" i="12"/>
  <c r="G9" i="12"/>
  <c r="E9" i="12"/>
  <c r="D9" i="12"/>
  <c r="N8" i="12"/>
  <c r="M8" i="12"/>
  <c r="K8" i="12"/>
  <c r="J8" i="12"/>
  <c r="H8" i="12"/>
  <c r="G8" i="12"/>
  <c r="E8" i="12"/>
  <c r="D8" i="12"/>
  <c r="N7" i="12"/>
  <c r="M7" i="12"/>
  <c r="K7" i="12"/>
  <c r="J7" i="12"/>
  <c r="H7" i="12"/>
  <c r="G7" i="12"/>
  <c r="E7" i="12"/>
  <c r="D7" i="12"/>
  <c r="N6" i="12"/>
  <c r="M6" i="12"/>
  <c r="K6" i="12"/>
  <c r="J6" i="12"/>
  <c r="H6" i="12"/>
  <c r="G6" i="12"/>
  <c r="E6" i="12"/>
  <c r="D6" i="12"/>
  <c r="N5" i="12"/>
  <c r="M5" i="12"/>
  <c r="K5" i="12"/>
  <c r="J5" i="12"/>
  <c r="H5" i="12"/>
  <c r="G5" i="12"/>
  <c r="E5" i="12"/>
  <c r="D5" i="12"/>
  <c r="N4" i="12"/>
  <c r="N12" i="12" s="1"/>
  <c r="L12" i="12" s="1"/>
  <c r="M4" i="12"/>
  <c r="K4" i="12"/>
  <c r="K12" i="12" s="1"/>
  <c r="I12" i="12" s="1"/>
  <c r="J4" i="12"/>
  <c r="H4" i="12"/>
  <c r="H12" i="12" s="1"/>
  <c r="F12" i="12" s="1"/>
  <c r="G4" i="12"/>
  <c r="E4" i="12"/>
  <c r="D4" i="12"/>
  <c r="E24" i="12" l="1"/>
  <c r="C24" i="12" s="1"/>
  <c r="E12" i="12"/>
  <c r="C12" i="12" s="1"/>
  <c r="L24" i="12"/>
  <c r="F24" i="12"/>
  <c r="I24" i="12"/>
  <c r="F53" i="2" l="1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52" i="2"/>
  <c r="J64" i="2"/>
  <c r="J63" i="2"/>
  <c r="J62" i="2"/>
  <c r="J61" i="2"/>
  <c r="J60" i="2"/>
  <c r="J67" i="2"/>
  <c r="J66" i="2"/>
  <c r="J65" i="2"/>
  <c r="J58" i="2"/>
  <c r="J57" i="2"/>
  <c r="J56" i="2"/>
  <c r="J55" i="2"/>
  <c r="J54" i="2"/>
  <c r="J53" i="2"/>
  <c r="J52" i="2"/>
  <c r="F3" i="4" s="1"/>
  <c r="C5" i="2"/>
  <c r="J59" i="2" s="1"/>
  <c r="U3" i="4"/>
  <c r="D3" i="4"/>
  <c r="B3" i="4"/>
  <c r="O3" i="4" l="1"/>
  <c r="V3" i="4"/>
  <c r="I3" i="4"/>
  <c r="N3" i="4" s="1"/>
  <c r="J69" i="2"/>
  <c r="J68" i="2"/>
  <c r="B8" i="5" l="1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E68" i="2" s="1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E59" i="2" s="1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E55" i="2" s="1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24" i="5"/>
  <c r="E67" i="2" l="1"/>
  <c r="E61" i="2"/>
  <c r="E64" i="2"/>
  <c r="E58" i="2"/>
  <c r="E63" i="2"/>
  <c r="E53" i="2"/>
  <c r="E69" i="2"/>
  <c r="E52" i="2"/>
  <c r="J3" i="4" s="1"/>
  <c r="K3" i="4" s="1"/>
  <c r="E57" i="2"/>
  <c r="E54" i="2"/>
  <c r="E56" i="2"/>
  <c r="E65" i="2"/>
  <c r="E66" i="2"/>
  <c r="E60" i="2"/>
  <c r="E62" i="2"/>
  <c r="G3" i="4" l="1"/>
  <c r="H3" i="4" s="1"/>
  <c r="M3" i="4"/>
  <c r="P3" i="4"/>
  <c r="Q3" i="4" l="1"/>
  <c r="R3" i="4" s="1"/>
</calcChain>
</file>

<file path=xl/sharedStrings.xml><?xml version="1.0" encoding="utf-8"?>
<sst xmlns="http://schemas.openxmlformats.org/spreadsheetml/2006/main" count="402" uniqueCount="252">
  <si>
    <t>Next generation of energy performance contracting</t>
  </si>
  <si>
    <t>Standardised Smart EPC concept documentation</t>
  </si>
  <si>
    <t>Deliverable 3.1b Analytic tool</t>
  </si>
  <si>
    <t>Instructions:</t>
  </si>
  <si>
    <t>WKT</t>
  </si>
  <si>
    <t>Luminaire ID</t>
  </si>
  <si>
    <t>Pole construction material</t>
  </si>
  <si>
    <t>Ownership of the pole and whether it is used for other purposes</t>
  </si>
  <si>
    <t>Pole grounded</t>
  </si>
  <si>
    <t>Number of luminaires on pole (pcs)</t>
  </si>
  <si>
    <t>Luminaire type</t>
  </si>
  <si>
    <t>Luminaire producer</t>
  </si>
  <si>
    <t>Luminaire age (years)</t>
  </si>
  <si>
    <t>Type of the opticas/protective glass</t>
  </si>
  <si>
    <t>Type of the ballast</t>
  </si>
  <si>
    <t>Is luminaire in individual dimming regime</t>
  </si>
  <si>
    <t>Number of light sources in luminaire (pcs)</t>
  </si>
  <si>
    <t>Pole and luminaire height (m)</t>
  </si>
  <si>
    <t>Distance of the pole from the edge of the road (m)</t>
  </si>
  <si>
    <t>Length of the arm/bracket (m)</t>
  </si>
  <si>
    <t>Tilt of the luminaire optical axis (°)</t>
  </si>
  <si>
    <t>Light source type</t>
  </si>
  <si>
    <t>Public lighting cabinet ID</t>
  </si>
  <si>
    <t>Characteristic profile ID</t>
  </si>
  <si>
    <t>Illuminated surface ID</t>
  </si>
  <si>
    <t>Luminaire location in relation to the illuminated surface (in case it illuminates several types of surfaces)</t>
  </si>
  <si>
    <t>Lighting class</t>
  </si>
  <si>
    <t>Luminaire functional</t>
  </si>
  <si>
    <t>Critical point</t>
  </si>
  <si>
    <t>Unjustified locacion</t>
  </si>
  <si>
    <t>Need to increase mechanical stability</t>
  </si>
  <si>
    <t>Nominal power of the light source (W)</t>
  </si>
  <si>
    <t>Power of luminaire (W)</t>
  </si>
  <si>
    <t>Decorative luminaire</t>
  </si>
  <si>
    <t>Rotosymmetric luminaire</t>
  </si>
  <si>
    <t>Reflector (or other)</t>
  </si>
  <si>
    <t>Note</t>
  </si>
  <si>
    <t>The location of the pole is suitable for a charging station</t>
  </si>
  <si>
    <t xml:space="preserve">Lamppost inner diameter </t>
  </si>
  <si>
    <t>Is optic cable available on 1m diameter from the pole</t>
  </si>
  <si>
    <t xml:space="preserve">What is the distance of optical backbone connection from pole </t>
  </si>
  <si>
    <t>X coordinate</t>
  </si>
  <si>
    <t>Y coordinate</t>
  </si>
  <si>
    <t>Steel</t>
  </si>
  <si>
    <t>Local authirity</t>
  </si>
  <si>
    <t>Yes</t>
  </si>
  <si>
    <t>Producer 1</t>
  </si>
  <si>
    <t>Type 1</t>
  </si>
  <si>
    <t>&lt;5</t>
  </si>
  <si>
    <t>Flat</t>
  </si>
  <si>
    <t>Driver</t>
  </si>
  <si>
    <t>10</t>
  </si>
  <si>
    <t>0</t>
  </si>
  <si>
    <t>HPS</t>
  </si>
  <si>
    <t>D1</t>
  </si>
  <si>
    <t>M1</t>
  </si>
  <si>
    <t>A3</t>
  </si>
  <si>
    <t>M4</t>
  </si>
  <si>
    <t>M</t>
  </si>
  <si>
    <t>Start of period 1</t>
  </si>
  <si>
    <t>End of period 1</t>
  </si>
  <si>
    <t>Start of period 2</t>
  </si>
  <si>
    <t>End of period 2</t>
  </si>
  <si>
    <t>Start of period 3</t>
  </si>
  <si>
    <t>End of period 3</t>
  </si>
  <si>
    <t>Start of period 4</t>
  </si>
  <si>
    <t>End of period 4</t>
  </si>
  <si>
    <t>Hours (00:00-24:00)</t>
  </si>
  <si>
    <t>Designed speed or speed limit</t>
  </si>
  <si>
    <t>High</t>
  </si>
  <si>
    <t>Traffic volume</t>
  </si>
  <si>
    <t>Moderate</t>
  </si>
  <si>
    <t>Traffic composition</t>
  </si>
  <si>
    <t>Mixed with high share of motorised traffic</t>
  </si>
  <si>
    <t>Separation of carriageway</t>
  </si>
  <si>
    <t>Junction density</t>
  </si>
  <si>
    <t>Parked vehicles</t>
  </si>
  <si>
    <t>Ambient luminosity</t>
  </si>
  <si>
    <t>Navigational task</t>
  </si>
  <si>
    <t>Hard</t>
  </si>
  <si>
    <t>P</t>
  </si>
  <si>
    <t>Hours  (00:00-24:00)</t>
  </si>
  <si>
    <t>Travel speed</t>
  </si>
  <si>
    <t>Use intensity</t>
  </si>
  <si>
    <t>Need for facial recognition</t>
  </si>
  <si>
    <t>Road width</t>
  </si>
  <si>
    <t>Pole high</t>
  </si>
  <si>
    <t>Distance between poles</t>
  </si>
  <si>
    <t>Distance from the illuminated surface</t>
  </si>
  <si>
    <t>Pole schedule</t>
  </si>
  <si>
    <t>M3</t>
  </si>
  <si>
    <t>One side</t>
  </si>
  <si>
    <t>D2</t>
  </si>
  <si>
    <t>Twoside</t>
  </si>
  <si>
    <t>D3</t>
  </si>
  <si>
    <t>D4</t>
  </si>
  <si>
    <t>D5</t>
  </si>
  <si>
    <t>Central</t>
  </si>
  <si>
    <t>D6</t>
  </si>
  <si>
    <t>D7</t>
  </si>
  <si>
    <t>Jednostrani</t>
  </si>
  <si>
    <t>D8</t>
  </si>
  <si>
    <t>M class</t>
  </si>
  <si>
    <t>Driving speed</t>
  </si>
  <si>
    <t>Very high</t>
  </si>
  <si>
    <r>
      <t>v ≥</t>
    </r>
    <r>
      <rPr>
        <sz val="11"/>
        <color theme="1"/>
        <rFont val="Calibri"/>
        <family val="2"/>
        <charset val="238"/>
      </rPr>
      <t xml:space="preserve"> 100 km/h</t>
    </r>
  </si>
  <si>
    <t>70 &lt; v &lt; 100 km/h</t>
  </si>
  <si>
    <r>
      <t xml:space="preserve">40 &lt; v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charset val="238"/>
        <scheme val="minor"/>
      </rPr>
      <t xml:space="preserve"> 70 km/h</t>
    </r>
  </si>
  <si>
    <t>Low</t>
  </si>
  <si>
    <r>
      <t xml:space="preserve">v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charset val="238"/>
        <scheme val="minor"/>
      </rPr>
      <t xml:space="preserve"> 40 km/h</t>
    </r>
  </si>
  <si>
    <t>Highway, multilane road</t>
  </si>
  <si>
    <t>Two lane road</t>
  </si>
  <si>
    <t>&gt; 65 % maximum capacity</t>
  </si>
  <si>
    <t>&gt; 45 % maximum capacity</t>
  </si>
  <si>
    <t>35%-65% maximum capacity</t>
  </si>
  <si>
    <t>15%-45% maximum capacity</t>
  </si>
  <si>
    <t>&lt;35% maximum capacity</t>
  </si>
  <si>
    <t>&lt;15% maximum capacity</t>
  </si>
  <si>
    <t>Traffic type</t>
  </si>
  <si>
    <t xml:space="preserve">Mixed </t>
  </si>
  <si>
    <t>Exclusevly motorised traffic</t>
  </si>
  <si>
    <t>Lane phisicaly separated</t>
  </si>
  <si>
    <t>No</t>
  </si>
  <si>
    <t>Density of the intersection</t>
  </si>
  <si>
    <t>&gt;3 po km</t>
  </si>
  <si>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charset val="238"/>
      </rPr>
      <t>3 po km</t>
    </r>
  </si>
  <si>
    <t>Ambient lighting</t>
  </si>
  <si>
    <t>Significant</t>
  </si>
  <si>
    <t>Illuminated shop windows, advertisements, sports fields, warehouses, etc.</t>
  </si>
  <si>
    <t>Normal situation</t>
  </si>
  <si>
    <t>Navigation possibilities</t>
  </si>
  <si>
    <t>Very hard</t>
  </si>
  <si>
    <t>Easy</t>
  </si>
  <si>
    <t>P class</t>
  </si>
  <si>
    <t>Traffic speed</t>
  </si>
  <si>
    <t xml:space="preserve">Low </t>
  </si>
  <si>
    <r>
      <t xml:space="preserve">v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charset val="238"/>
      </rPr>
      <t xml:space="preserve"> 40 km/h</t>
    </r>
  </si>
  <si>
    <t>Very low</t>
  </si>
  <si>
    <t>Walking speed</t>
  </si>
  <si>
    <t>Usage intensity</t>
  </si>
  <si>
    <t>Trafic type</t>
  </si>
  <si>
    <t>Pedestrians, cyclists, motorised traffic</t>
  </si>
  <si>
    <t>Pedestrians and motorised traffic</t>
  </si>
  <si>
    <t>Pedestrians and cyclists</t>
  </si>
  <si>
    <t>Pedestrians</t>
  </si>
  <si>
    <t>Cyclists</t>
  </si>
  <si>
    <t>Facial recognition?</t>
  </si>
  <si>
    <t>Additional requirements</t>
  </si>
  <si>
    <t>No additional requirements</t>
  </si>
  <si>
    <t>Lamppost high (m)</t>
  </si>
  <si>
    <t>Luminous flux output (lm)</t>
  </si>
  <si>
    <t>from (m)</t>
  </si>
  <si>
    <t>till (m)</t>
  </si>
  <si>
    <t>M2</t>
  </si>
  <si>
    <t>M5</t>
  </si>
  <si>
    <t>M6</t>
  </si>
  <si>
    <t>P1</t>
  </si>
  <si>
    <t>P2</t>
  </si>
  <si>
    <t>P3</t>
  </si>
  <si>
    <t>P4</t>
  </si>
  <si>
    <t>P5</t>
  </si>
  <si>
    <t>P6</t>
  </si>
  <si>
    <t>Working hours before reconstruction</t>
  </si>
  <si>
    <t>Roads</t>
  </si>
  <si>
    <t>Underpass</t>
  </si>
  <si>
    <t>Reflectors</t>
  </si>
  <si>
    <t>Working hours after reconstruction</t>
  </si>
  <si>
    <t>C1</t>
  </si>
  <si>
    <t>C2</t>
  </si>
  <si>
    <t>C3</t>
  </si>
  <si>
    <t>C4</t>
  </si>
  <si>
    <t>C5</t>
  </si>
  <si>
    <t>C6</t>
  </si>
  <si>
    <t>Luminaire efficiecy (lm/W)</t>
  </si>
  <si>
    <t>Reduced working hour calculator due to dimming regime</t>
  </si>
  <si>
    <t>Yearly working hours</t>
  </si>
  <si>
    <t>Working hours calculator</t>
  </si>
  <si>
    <t>Working houre</t>
  </si>
  <si>
    <t>Other</t>
  </si>
  <si>
    <t>Assistent tables</t>
  </si>
  <si>
    <t>*option to input excact luminaire type (with power and price), or use table in sheet "base" to determine luminaire power</t>
  </si>
  <si>
    <t>Characteristic profile</t>
  </si>
  <si>
    <t>Luminaire power</t>
  </si>
  <si>
    <t>Luminaire price</t>
  </si>
  <si>
    <t>Working hours</t>
  </si>
  <si>
    <t>Price increase factor</t>
  </si>
  <si>
    <t>Working hours before</t>
  </si>
  <si>
    <t>Type 2</t>
  </si>
  <si>
    <t>Type 3</t>
  </si>
  <si>
    <t>Type 4</t>
  </si>
  <si>
    <t>Type 5</t>
  </si>
  <si>
    <t>Type 6</t>
  </si>
  <si>
    <t>Type 7</t>
  </si>
  <si>
    <t>Type 8</t>
  </si>
  <si>
    <t>Type 9</t>
  </si>
  <si>
    <t>D9</t>
  </si>
  <si>
    <t>Type 10</t>
  </si>
  <si>
    <t>D10</t>
  </si>
  <si>
    <t>Type 11</t>
  </si>
  <si>
    <t>D11</t>
  </si>
  <si>
    <t>Type 12</t>
  </si>
  <si>
    <t>Type 13</t>
  </si>
  <si>
    <t>D12</t>
  </si>
  <si>
    <t>Type 14</t>
  </si>
  <si>
    <t>D13</t>
  </si>
  <si>
    <t>Type 15</t>
  </si>
  <si>
    <t>D14</t>
  </si>
  <si>
    <t>Type 16</t>
  </si>
  <si>
    <t>D15</t>
  </si>
  <si>
    <t>Type 17</t>
  </si>
  <si>
    <t>D16</t>
  </si>
  <si>
    <t>Type 18</t>
  </si>
  <si>
    <t>Elecrticity price (EUR/kWh)</t>
  </si>
  <si>
    <t>Cost 1</t>
  </si>
  <si>
    <t>Cost 2</t>
  </si>
  <si>
    <t>Cost 3</t>
  </si>
  <si>
    <t>Cost 4</t>
  </si>
  <si>
    <t>Overall</t>
  </si>
  <si>
    <t>Sensitivity analysis - elecrticity cost change</t>
  </si>
  <si>
    <t>VAT on energy</t>
  </si>
  <si>
    <t>AT on other</t>
  </si>
  <si>
    <t>Sensitivity analysis - CAPEX change</t>
  </si>
  <si>
    <t>Costs of works (EUR per luminaire)</t>
  </si>
  <si>
    <t>Luminaire lux output</t>
  </si>
  <si>
    <t>Price (EUR, without VAT)</t>
  </si>
  <si>
    <t>Luminaire power (W)</t>
  </si>
  <si>
    <t>Number of luminaires</t>
  </si>
  <si>
    <t>Working hours (hours per year)</t>
  </si>
  <si>
    <t>Energy consumption (kWh per year)</t>
  </si>
  <si>
    <t>Electricity costs (EUR per year, with VAT)</t>
  </si>
  <si>
    <t>Proposed power of replacement luminaire (W)</t>
  </si>
  <si>
    <t>Unit cost per new luminaire (EUR with VAT)</t>
  </si>
  <si>
    <t>Costs of material (EUR with VAT)</t>
  </si>
  <si>
    <t>Costs of work (EUR with VAT)</t>
  </si>
  <si>
    <t>Overall investment (EUR with VAT)</t>
  </si>
  <si>
    <t>Overall luminaire power after replacement (W)</t>
  </si>
  <si>
    <t>Working hours after replacement (hours per year)</t>
  </si>
  <si>
    <t>Energy consumption after replacement (kWh per year)</t>
  </si>
  <si>
    <t>Energy costs after replacement (EUR per year, with VAT)</t>
  </si>
  <si>
    <t>Costs savings (EUR per year)</t>
  </si>
  <si>
    <t>Replacement priority</t>
  </si>
  <si>
    <t>Illuminated surface</t>
  </si>
  <si>
    <t>*pivot table with  values:</t>
  </si>
  <si>
    <t>Investment (CAPEX)</t>
  </si>
  <si>
    <t>EUR</t>
  </si>
  <si>
    <t>EPC contract duration</t>
  </si>
  <si>
    <t>years</t>
  </si>
  <si>
    <t>EPC contract value</t>
  </si>
  <si>
    <t>Cost savings</t>
  </si>
  <si>
    <t>EUR/year</t>
  </si>
  <si>
    <t>EPC feasible</t>
  </si>
  <si>
    <t>Needed extra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</si>
</sst>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_-* #,##0.00\ _k_n_-;\-* #,##0.00\ _k_n_-;_-* &quot;-&quot;??\ _k_n_-;_-@_-"/>
    <numFmt numFmtId="166" formatCode="#,##0_ ;\-#,##0\ 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Roboto"/>
    </font>
    <font>
      <b/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FBFB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5" fontId="3" fillId="0" borderId="0" applyFont="0" applyFill="0" applyBorder="0" applyAlignment="0" applyProtection="0"/>
  </cellStyleXfs>
  <cellXfs count="119">
    <xf numFmtId="0" fontId="0" fillId="0" borderId="0" xfId="0"/>
    <xf numFmtId="9" fontId="0" fillId="0" borderId="0" xfId="0" applyNumberFormat="1"/>
    <xf numFmtId="3" fontId="0" fillId="0" borderId="0" xfId="0" applyNumberFormat="1"/>
    <xf numFmtId="0" fontId="1" fillId="0" borderId="0" xfId="0" applyFont="1"/>
    <xf numFmtId="0" fontId="0" fillId="0" borderId="1" xfId="0" applyBorder="1"/>
    <xf numFmtId="0" fontId="5" fillId="0" borderId="0" xfId="0" applyFont="1"/>
    <xf numFmtId="0" fontId="7" fillId="0" borderId="0" xfId="0" applyFont="1"/>
    <xf numFmtId="3" fontId="7" fillId="0" borderId="0" xfId="0" applyNumberFormat="1" applyFont="1"/>
    <xf numFmtId="0" fontId="0" fillId="3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0" fillId="4" borderId="6" xfId="0" applyFill="1" applyBorder="1"/>
    <xf numFmtId="164" fontId="0" fillId="0" borderId="0" xfId="0" applyNumberFormat="1" applyProtection="1">
      <protection locked="0"/>
    </xf>
    <xf numFmtId="164" fontId="0" fillId="0" borderId="5" xfId="0" applyNumberFormat="1" applyBorder="1" applyProtection="1">
      <protection locked="0"/>
    </xf>
    <xf numFmtId="0" fontId="0" fillId="3" borderId="9" xfId="0" applyFill="1" applyBorder="1"/>
    <xf numFmtId="0" fontId="0" fillId="5" borderId="4" xfId="0" applyFill="1" applyBorder="1" applyAlignment="1">
      <alignment wrapText="1"/>
    </xf>
    <xf numFmtId="0" fontId="0" fillId="0" borderId="5" xfId="0" applyBorder="1"/>
    <xf numFmtId="0" fontId="0" fillId="4" borderId="10" xfId="0" applyFill="1" applyBorder="1"/>
    <xf numFmtId="0" fontId="0" fillId="4" borderId="12" xfId="0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0" fillId="3" borderId="10" xfId="0" applyFill="1" applyBorder="1"/>
    <xf numFmtId="0" fontId="0" fillId="3" borderId="13" xfId="0" applyFill="1" applyBorder="1"/>
    <xf numFmtId="0" fontId="0" fillId="5" borderId="15" xfId="0" applyFill="1" applyBorder="1" applyAlignment="1">
      <alignment wrapText="1"/>
    </xf>
    <xf numFmtId="0" fontId="0" fillId="0" borderId="16" xfId="0" applyBorder="1"/>
    <xf numFmtId="0" fontId="4" fillId="3" borderId="6" xfId="0" applyFont="1" applyFill="1" applyBorder="1"/>
    <xf numFmtId="0" fontId="0" fillId="0" borderId="19" xfId="0" applyBorder="1"/>
    <xf numFmtId="0" fontId="0" fillId="3" borderId="20" xfId="0" applyFill="1" applyBorder="1"/>
    <xf numFmtId="0" fontId="0" fillId="3" borderId="21" xfId="0" applyFill="1" applyBorder="1"/>
    <xf numFmtId="0" fontId="4" fillId="0" borderId="0" xfId="0" applyFont="1"/>
    <xf numFmtId="0" fontId="11" fillId="0" borderId="0" xfId="0" applyFont="1"/>
    <xf numFmtId="0" fontId="4" fillId="0" borderId="1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1" xfId="0" applyBorder="1"/>
    <xf numFmtId="0" fontId="0" fillId="0" borderId="14" xfId="0" applyBorder="1"/>
    <xf numFmtId="0" fontId="0" fillId="0" borderId="30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0" fontId="0" fillId="0" borderId="34" xfId="0" applyBorder="1"/>
    <xf numFmtId="0" fontId="1" fillId="0" borderId="32" xfId="0" applyFont="1" applyBorder="1"/>
    <xf numFmtId="0" fontId="1" fillId="0" borderId="29" xfId="0" applyFont="1" applyBorder="1"/>
    <xf numFmtId="0" fontId="1" fillId="0" borderId="34" xfId="0" applyFont="1" applyBorder="1"/>
    <xf numFmtId="9" fontId="1" fillId="2" borderId="35" xfId="0" applyNumberFormat="1" applyFont="1" applyFill="1" applyBorder="1"/>
    <xf numFmtId="9" fontId="0" fillId="2" borderId="35" xfId="0" applyNumberFormat="1" applyFill="1" applyBorder="1"/>
    <xf numFmtId="1" fontId="12" fillId="6" borderId="6" xfId="1" applyNumberFormat="1" applyFont="1" applyFill="1" applyBorder="1" applyAlignment="1">
      <alignment vertical="center"/>
    </xf>
    <xf numFmtId="1" fontId="12" fillId="6" borderId="27" xfId="1" applyNumberFormat="1" applyFont="1" applyFill="1" applyBorder="1" applyAlignment="1">
      <alignment vertical="center"/>
    </xf>
    <xf numFmtId="1" fontId="12" fillId="6" borderId="37" xfId="1" applyNumberFormat="1" applyFont="1" applyFill="1" applyBorder="1" applyAlignment="1">
      <alignment horizontal="center" vertical="center"/>
    </xf>
    <xf numFmtId="1" fontId="12" fillId="6" borderId="20" xfId="1" applyNumberFormat="1" applyFont="1" applyFill="1" applyBorder="1" applyAlignment="1">
      <alignment horizontal="center" vertical="center"/>
    </xf>
    <xf numFmtId="2" fontId="12" fillId="6" borderId="20" xfId="1" applyNumberFormat="1" applyFont="1" applyFill="1" applyBorder="1" applyAlignment="1">
      <alignment horizontal="center" vertical="center"/>
    </xf>
    <xf numFmtId="166" fontId="0" fillId="7" borderId="9" xfId="2" applyNumberFormat="1" applyFont="1" applyFill="1" applyBorder="1" applyAlignment="1">
      <alignment horizontal="center" vertical="center"/>
    </xf>
    <xf numFmtId="1" fontId="12" fillId="6" borderId="39" xfId="1" applyNumberFormat="1" applyFont="1" applyFill="1" applyBorder="1" applyAlignment="1">
      <alignment horizontal="center" vertical="center"/>
    </xf>
    <xf numFmtId="1" fontId="12" fillId="6" borderId="21" xfId="1" applyNumberFormat="1" applyFont="1" applyFill="1" applyBorder="1" applyAlignment="1">
      <alignment horizontal="center" vertical="center"/>
    </xf>
    <xf numFmtId="2" fontId="12" fillId="6" borderId="21" xfId="1" applyNumberFormat="1" applyFont="1" applyFill="1" applyBorder="1" applyAlignment="1">
      <alignment horizontal="center" vertical="center"/>
    </xf>
    <xf numFmtId="166" fontId="0" fillId="7" borderId="10" xfId="2" applyNumberFormat="1" applyFont="1" applyFill="1" applyBorder="1" applyAlignment="1">
      <alignment horizontal="center" vertical="center"/>
    </xf>
    <xf numFmtId="1" fontId="12" fillId="6" borderId="5" xfId="1" applyNumberFormat="1" applyFont="1" applyFill="1" applyBorder="1" applyAlignment="1">
      <alignment horizontal="center" vertical="center"/>
    </xf>
    <xf numFmtId="1" fontId="12" fillId="6" borderId="40" xfId="1" applyNumberFormat="1" applyFont="1" applyFill="1" applyBorder="1" applyAlignment="1">
      <alignment horizontal="center" vertical="center"/>
    </xf>
    <xf numFmtId="2" fontId="12" fillId="6" borderId="40" xfId="1" applyNumberFormat="1" applyFont="1" applyFill="1" applyBorder="1" applyAlignment="1">
      <alignment horizontal="center" vertical="center"/>
    </xf>
    <xf numFmtId="1" fontId="12" fillId="6" borderId="38" xfId="1" applyNumberFormat="1" applyFont="1" applyFill="1" applyBorder="1" applyAlignment="1">
      <alignment horizontal="center" vertical="center"/>
    </xf>
    <xf numFmtId="166" fontId="0" fillId="7" borderId="41" xfId="2" applyNumberFormat="1" applyFont="1" applyFill="1" applyBorder="1" applyAlignment="1">
      <alignment horizontal="center" vertical="center"/>
    </xf>
    <xf numFmtId="166" fontId="0" fillId="7" borderId="42" xfId="2" applyNumberFormat="1" applyFont="1" applyFill="1" applyBorder="1" applyAlignment="1">
      <alignment horizontal="center" vertical="center"/>
    </xf>
    <xf numFmtId="1" fontId="12" fillId="6" borderId="43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9" fontId="0" fillId="0" borderId="1" xfId="0" applyNumberFormat="1" applyBorder="1"/>
    <xf numFmtId="0" fontId="0" fillId="0" borderId="33" xfId="0" applyBorder="1"/>
    <xf numFmtId="0" fontId="4" fillId="0" borderId="3" xfId="0" applyFont="1" applyBorder="1"/>
    <xf numFmtId="0" fontId="4" fillId="0" borderId="26" xfId="0" applyFont="1" applyBorder="1"/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0" fillId="2" borderId="0" xfId="0" applyFill="1"/>
    <xf numFmtId="0" fontId="0" fillId="2" borderId="1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0" xfId="0" applyNumberFormat="1" applyFill="1" applyProtection="1">
      <protection locked="0"/>
    </xf>
    <xf numFmtId="0" fontId="0" fillId="2" borderId="1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12" xfId="0" applyFill="1" applyBorder="1"/>
    <xf numFmtId="0" fontId="0" fillId="2" borderId="15" xfId="0" applyFill="1" applyBorder="1"/>
    <xf numFmtId="0" fontId="0" fillId="2" borderId="35" xfId="0" applyFill="1" applyBorder="1"/>
    <xf numFmtId="0" fontId="0" fillId="2" borderId="30" xfId="0" applyFill="1" applyBorder="1"/>
    <xf numFmtId="0" fontId="0" fillId="2" borderId="11" xfId="0" applyFill="1" applyBorder="1"/>
    <xf numFmtId="0" fontId="6" fillId="2" borderId="1" xfId="0" applyFont="1" applyFill="1" applyBorder="1"/>
    <xf numFmtId="0" fontId="0" fillId="2" borderId="14" xfId="0" applyFill="1" applyBorder="1"/>
    <xf numFmtId="0" fontId="6" fillId="2" borderId="30" xfId="0" applyFont="1" applyFill="1" applyBorder="1"/>
    <xf numFmtId="0" fontId="6" fillId="2" borderId="11" xfId="0" applyFont="1" applyFill="1" applyBorder="1"/>
    <xf numFmtId="0" fontId="6" fillId="2" borderId="14" xfId="0" applyFont="1" applyFill="1" applyBorder="1"/>
    <xf numFmtId="0" fontId="0" fillId="2" borderId="28" xfId="0" applyFill="1" applyBorder="1"/>
    <xf numFmtId="0" fontId="0" fillId="2" borderId="31" xfId="0" applyFill="1" applyBorder="1"/>
    <xf numFmtId="9" fontId="0" fillId="2" borderId="26" xfId="0" applyNumberFormat="1" applyFill="1" applyBorder="1"/>
    <xf numFmtId="9" fontId="0" fillId="2" borderId="29" xfId="0" applyNumberFormat="1" applyFill="1" applyBorder="1"/>
    <xf numFmtId="3" fontId="5" fillId="2" borderId="0" xfId="0" applyNumberFormat="1" applyFont="1" applyFill="1"/>
    <xf numFmtId="0" fontId="5" fillId="2" borderId="0" xfId="0" applyFont="1" applyFill="1"/>
    <xf numFmtId="0" fontId="14" fillId="0" borderId="0" xfId="0" applyFont="1"/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1" fontId="12" fillId="6" borderId="37" xfId="1" applyNumberFormat="1" applyFont="1" applyFill="1" applyBorder="1" applyAlignment="1">
      <alignment horizontal="center" vertical="center"/>
    </xf>
    <xf numFmtId="1" fontId="12" fillId="6" borderId="38" xfId="1" applyNumberFormat="1" applyFont="1" applyFill="1" applyBorder="1" applyAlignment="1">
      <alignment horizontal="center" vertical="center"/>
    </xf>
    <xf numFmtId="1" fontId="12" fillId="6" borderId="34" xfId="1" applyNumberFormat="1" applyFont="1" applyFill="1" applyBorder="1" applyAlignment="1">
      <alignment horizontal="center" vertical="center"/>
    </xf>
    <xf numFmtId="1" fontId="12" fillId="6" borderId="35" xfId="1" applyNumberFormat="1" applyFont="1" applyFill="1" applyBorder="1" applyAlignment="1">
      <alignment horizontal="center" vertical="center"/>
    </xf>
    <xf numFmtId="0" fontId="12" fillId="6" borderId="37" xfId="1" applyFont="1" applyFill="1" applyBorder="1" applyAlignment="1">
      <alignment horizontal="center" vertical="center" wrapText="1"/>
    </xf>
    <xf numFmtId="0" fontId="12" fillId="6" borderId="39" xfId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3">
    <cellStyle name="Comma 2" xfId="2" xr:uid="{2FBB9D50-D560-704E-BC42-A7DDE626B459}"/>
    <cellStyle name="Normal" xfId="0" builtinId="0"/>
    <cellStyle name="Normal 2" xfId="1" xr:uid="{D5738B18-5718-418A-9144-F2742DCDB471}"/>
  </cellStyles>
  <dxfs count="24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charset val="238"/>
        <scheme val="minor"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iagrams/_rels/data1.xml.rels><?xml version="1.0" encoding="UTF-8" standalone="yes"?>
<Relationships xmlns="http://schemas.openxmlformats.org/package/2006/relationships"><Relationship Id="rId3" Type="http://schemas.openxmlformats.org/officeDocument/2006/relationships/hyperlink" Target="#Input_reference_conditions!A1"/><Relationship Id="rId7" Type="http://schemas.openxmlformats.org/officeDocument/2006/relationships/hyperlink" Target="#Summary!A1"/><Relationship Id="rId2" Type="http://schemas.openxmlformats.org/officeDocument/2006/relationships/hyperlink" Target="#Input_characteristic_profile!A1"/><Relationship Id="rId1" Type="http://schemas.openxmlformats.org/officeDocument/2006/relationships/hyperlink" Target="#Input_lamppost!A1"/><Relationship Id="rId6" Type="http://schemas.openxmlformats.org/officeDocument/2006/relationships/hyperlink" Target="#Analytic!A1"/><Relationship Id="rId5" Type="http://schemas.openxmlformats.org/officeDocument/2006/relationships/hyperlink" Target="#Input_lighting_classes!A1"/><Relationship Id="rId4" Type="http://schemas.openxmlformats.org/officeDocument/2006/relationships/hyperlink" Target="#Input_price_assumptions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EEF400FD-6A3F-574D-950A-A56E0D6320B0}" type="doc">
      <dgm:prSet loTypeId="urn:microsoft.com/office/officeart/2005/8/layout/process3" loCatId="" qsTypeId="urn:microsoft.com/office/officeart/2005/8/quickstyle/simple1" qsCatId="simple" csTypeId="urn:microsoft.com/office/officeart/2005/8/colors/accent1_2" csCatId="accent1" phldr="1"/>
      <dgm:spPr/>
    </dgm:pt>
    <dgm:pt modelId="{7B0F3F2A-EBEF-294F-B11B-F31519CE8085}">
      <dgm:prSet phldrT="[Text]"/>
      <dgm:spPr/>
      <dgm:t>
        <a:bodyPr/>
        <a:lstStyle/>
        <a:p>
          <a:r>
            <a:rPr lang="en-GB"/>
            <a:t>STEP 1</a:t>
          </a:r>
        </a:p>
        <a:p>
          <a:r>
            <a:rPr lang="en-GB"/>
            <a:t>Lamppost data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E0CAEC7E-2ACF-5747-9229-528CABDFE1FA}" type="parTrans" cxnId="{09EFFB6D-D374-044C-A787-A9B1D83A47A4}">
      <dgm:prSet/>
      <dgm:spPr/>
      <dgm:t>
        <a:bodyPr/>
        <a:lstStyle/>
        <a:p>
          <a:endParaRPr lang="en-GB"/>
        </a:p>
      </dgm:t>
    </dgm:pt>
    <dgm:pt modelId="{01041A87-568A-CC4B-B6B4-5DD0E8EC2F67}" type="sibTrans" cxnId="{09EFFB6D-D374-044C-A787-A9B1D83A47A4}">
      <dgm:prSet/>
      <dgm:spPr/>
      <dgm:t>
        <a:bodyPr/>
        <a:lstStyle/>
        <a:p>
          <a:endParaRPr lang="en-GB"/>
        </a:p>
      </dgm:t>
    </dgm:pt>
    <dgm:pt modelId="{588958AD-0688-CA4A-82BC-2CF34CDBBA89}">
      <dgm:prSet phldrT="[Text]"/>
      <dgm:spPr/>
      <dgm:t>
        <a:bodyPr/>
        <a:lstStyle/>
        <a:p>
          <a:r>
            <a:rPr lang="en-GB"/>
            <a:t>STEP 2</a:t>
          </a:r>
        </a:p>
        <a:p>
          <a:r>
            <a:rPr lang="en-GB"/>
            <a:t>Characteristic profile of illuminated surface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71CC8596-7EA3-D748-BB85-ACCC482FBCEC}" type="parTrans" cxnId="{7E046CEE-BAD8-4446-B8C8-E92FC87005CA}">
      <dgm:prSet/>
      <dgm:spPr/>
      <dgm:t>
        <a:bodyPr/>
        <a:lstStyle/>
        <a:p>
          <a:endParaRPr lang="en-GB"/>
        </a:p>
      </dgm:t>
    </dgm:pt>
    <dgm:pt modelId="{54B34398-110F-244C-B32F-2733F51451EB}" type="sibTrans" cxnId="{7E046CEE-BAD8-4446-B8C8-E92FC87005CA}">
      <dgm:prSet/>
      <dgm:spPr/>
      <dgm:t>
        <a:bodyPr/>
        <a:lstStyle/>
        <a:p>
          <a:endParaRPr lang="en-GB"/>
        </a:p>
      </dgm:t>
    </dgm:pt>
    <dgm:pt modelId="{5C9AF45B-097B-7C46-9F48-F39E94CB9408}">
      <dgm:prSet phldrT="[Text]"/>
      <dgm:spPr/>
      <dgm:t>
        <a:bodyPr/>
        <a:lstStyle/>
        <a:p>
          <a:r>
            <a:rPr lang="en-GB"/>
            <a:t>STEP 3</a:t>
          </a:r>
        </a:p>
        <a:p>
          <a:r>
            <a:rPr lang="en-GB"/>
            <a:t>Reference conditions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82390EA8-4DF7-F849-82AF-6EA4629915A7}" type="parTrans" cxnId="{25471715-652E-D146-86C7-200156879227}">
      <dgm:prSet/>
      <dgm:spPr/>
      <dgm:t>
        <a:bodyPr/>
        <a:lstStyle/>
        <a:p>
          <a:endParaRPr lang="en-GB"/>
        </a:p>
      </dgm:t>
    </dgm:pt>
    <dgm:pt modelId="{B2CB6571-7CA9-4841-A75D-2C6DB6BA80E1}" type="sibTrans" cxnId="{25471715-652E-D146-86C7-200156879227}">
      <dgm:prSet custT="1"/>
      <dgm:spPr>
        <a:solidFill>
          <a:srgbClr val="4472C4">
            <a:tint val="60000"/>
            <a:hueOff val="0"/>
            <a:satOff val="0"/>
            <a:lumOff val="0"/>
            <a:alphaOff val="0"/>
          </a:srgbClr>
        </a:solidFill>
        <a:ln>
          <a:noFill/>
        </a:ln>
        <a:effectLst/>
      </dgm:spPr>
      <dgm:t>
        <a:bodyPr spcFirstLastPara="0" vert="horz" wrap="square" lIns="0" tIns="0" rIns="0" bIns="0" numCol="1" spcCol="1270" anchor="ctr" anchorCtr="0"/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00" kern="1200">
            <a:solidFill>
              <a:sysClr val="window" lastClr="FFFFFF"/>
            </a:solidFill>
            <a:latin typeface="Calibri" panose="020F0502020204030204"/>
            <a:ea typeface="+mn-ea"/>
            <a:cs typeface="+mn-cs"/>
          </a:endParaRPr>
        </a:p>
      </dgm:t>
    </dgm:pt>
    <dgm:pt modelId="{B848DBC8-4D2F-0343-B6B9-456771F3BB02}">
      <dgm:prSet phldrT="[Text]"/>
      <dgm:spPr/>
      <dgm:t>
        <a:bodyPr/>
        <a:lstStyle/>
        <a:p>
          <a:r>
            <a:rPr lang="en-GB"/>
            <a:t>STEP 4</a:t>
          </a:r>
        </a:p>
        <a:p>
          <a:r>
            <a:rPr lang="en-GB"/>
            <a:t>Price per unit assumptions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4"/>
          </dgm14:cNvPr>
        </a:ext>
      </dgm:extLst>
    </dgm:pt>
    <dgm:pt modelId="{F977F61B-EC53-7743-8FB1-06C73A5B63B1}" type="parTrans" cxnId="{7236B965-BD32-DF4D-801E-35A3013E7600}">
      <dgm:prSet/>
      <dgm:spPr/>
      <dgm:t>
        <a:bodyPr/>
        <a:lstStyle/>
        <a:p>
          <a:endParaRPr lang="en-GB"/>
        </a:p>
      </dgm:t>
    </dgm:pt>
    <dgm:pt modelId="{53318B5E-D646-8347-909B-52A8C806E495}" type="sibTrans" cxnId="{7236B965-BD32-DF4D-801E-35A3013E7600}">
      <dgm:prSet/>
      <dgm:spPr/>
      <dgm:t>
        <a:bodyPr/>
        <a:lstStyle/>
        <a:p>
          <a:endParaRPr lang="en-GB"/>
        </a:p>
      </dgm:t>
    </dgm:pt>
    <dgm:pt modelId="{FA01DFD0-F880-C34E-B149-75C8B0E9BD1E}">
      <dgm:prSet phldrT="[Text]"/>
      <dgm:spPr/>
      <dgm:t>
        <a:bodyPr/>
        <a:lstStyle/>
        <a:p>
          <a:r>
            <a:rPr lang="en-GB"/>
            <a:t>OPTIONAL</a:t>
          </a:r>
        </a:p>
        <a:p>
          <a:r>
            <a:rPr lang="en-GB"/>
            <a:t>Lighting class calculator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5"/>
          </dgm14:cNvPr>
        </a:ext>
      </dgm:extLst>
    </dgm:pt>
    <dgm:pt modelId="{1C39AAA7-B9FF-0D4F-9B72-B6D686373377}" type="parTrans" cxnId="{0FF1919B-35A1-F940-9DDB-0C5B99F2409E}">
      <dgm:prSet/>
      <dgm:spPr/>
      <dgm:t>
        <a:bodyPr/>
        <a:lstStyle/>
        <a:p>
          <a:endParaRPr lang="en-GB"/>
        </a:p>
      </dgm:t>
    </dgm:pt>
    <dgm:pt modelId="{AD0ED6E6-7836-3B4F-97EE-B9BD234FCE20}" type="sibTrans" cxnId="{0FF1919B-35A1-F940-9DDB-0C5B99F2409E}">
      <dgm:prSet/>
      <dgm:spPr/>
      <dgm:t>
        <a:bodyPr/>
        <a:lstStyle/>
        <a:p>
          <a:endParaRPr lang="en-GB"/>
        </a:p>
      </dgm:t>
    </dgm:pt>
    <dgm:pt modelId="{4130529C-DE8F-A74F-BEAE-3553F1C8B615}">
      <dgm:prSet phldrT="[Text]"/>
      <dgm:spPr/>
      <dgm:t>
        <a:bodyPr/>
        <a:lstStyle/>
        <a:p>
          <a:r>
            <a:rPr lang="en-GB"/>
            <a:t>STEP 5</a:t>
          </a:r>
        </a:p>
        <a:p>
          <a:r>
            <a:rPr lang="en-GB"/>
            <a:t>Analytic tool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6"/>
          </dgm14:cNvPr>
        </a:ext>
      </dgm:extLst>
    </dgm:pt>
    <dgm:pt modelId="{9A3152AB-AF45-5D47-B2DD-646ECFF74052}" type="parTrans" cxnId="{23AFF643-E213-8549-915D-89607CEC8DC5}">
      <dgm:prSet/>
      <dgm:spPr/>
      <dgm:t>
        <a:bodyPr/>
        <a:lstStyle/>
        <a:p>
          <a:endParaRPr lang="en-GB"/>
        </a:p>
      </dgm:t>
    </dgm:pt>
    <dgm:pt modelId="{72CDDCBE-D98A-4F43-81D5-8CA5F4AC9AA7}" type="sibTrans" cxnId="{23AFF643-E213-8549-915D-89607CEC8DC5}">
      <dgm:prSet/>
      <dgm:spPr/>
      <dgm:t>
        <a:bodyPr/>
        <a:lstStyle/>
        <a:p>
          <a:endParaRPr lang="en-GB"/>
        </a:p>
      </dgm:t>
    </dgm:pt>
    <dgm:pt modelId="{C98F32C9-E935-7C4F-93DA-E7C4FA09E986}">
      <dgm:prSet phldrT="[Text]"/>
      <dgm:spPr/>
      <dgm:t>
        <a:bodyPr/>
        <a:lstStyle/>
        <a:p>
          <a:r>
            <a:rPr lang="en-GB"/>
            <a:t>RESULTS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7"/>
          </dgm14:cNvPr>
        </a:ext>
      </dgm:extLst>
    </dgm:pt>
    <dgm:pt modelId="{8A3FFFFC-FFDE-4147-A801-A70D71BEFBE5}" type="parTrans" cxnId="{76CF4CB3-5E1D-374A-ABD4-18AC8DF8F391}">
      <dgm:prSet/>
      <dgm:spPr/>
      <dgm:t>
        <a:bodyPr/>
        <a:lstStyle/>
        <a:p>
          <a:endParaRPr lang="en-GB"/>
        </a:p>
      </dgm:t>
    </dgm:pt>
    <dgm:pt modelId="{B0EC45D6-E76D-C34D-ACF2-AF67AAADC5A8}" type="sibTrans" cxnId="{76CF4CB3-5E1D-374A-ABD4-18AC8DF8F391}">
      <dgm:prSet/>
      <dgm:spPr/>
      <dgm:t>
        <a:bodyPr/>
        <a:lstStyle/>
        <a:p>
          <a:endParaRPr lang="en-GB"/>
        </a:p>
      </dgm:t>
    </dgm:pt>
    <dgm:pt modelId="{6656E091-9D41-B94E-843B-5F13B9E605B2}">
      <dgm:prSet/>
      <dgm:spPr/>
      <dgm:t>
        <a:bodyPr/>
        <a:lstStyle/>
        <a:p>
          <a:r>
            <a:rPr lang="en-GB"/>
            <a:t>Input lamppost data from the energy audit into yellow highlited cells</a:t>
          </a:r>
        </a:p>
      </dgm:t>
    </dgm:pt>
    <dgm:pt modelId="{5C8CA56C-F1BA-D949-815B-A6BF4B1FEE5F}" type="parTrans" cxnId="{5BDCD912-0AF0-384B-A4BC-B80F1DB16ACA}">
      <dgm:prSet/>
      <dgm:spPr/>
      <dgm:t>
        <a:bodyPr/>
        <a:lstStyle/>
        <a:p>
          <a:endParaRPr lang="en-GB"/>
        </a:p>
      </dgm:t>
    </dgm:pt>
    <dgm:pt modelId="{6A465E45-5D9A-924D-B609-EF382FC12D69}" type="sibTrans" cxnId="{5BDCD912-0AF0-384B-A4BC-B80F1DB16ACA}">
      <dgm:prSet/>
      <dgm:spPr/>
      <dgm:t>
        <a:bodyPr/>
        <a:lstStyle/>
        <a:p>
          <a:endParaRPr lang="en-GB"/>
        </a:p>
      </dgm:t>
    </dgm:pt>
    <dgm:pt modelId="{F5398F1F-28C8-6D40-BDD3-EC6584075620}">
      <dgm:prSet/>
      <dgm:spPr/>
      <dgm:t>
        <a:bodyPr/>
        <a:lstStyle/>
        <a:p>
          <a:r>
            <a:rPr lang="en-GB"/>
            <a:t>Optional to use for double check  lighting class defined in energy audit (input required parametars into yellow highlited cells)</a:t>
          </a:r>
        </a:p>
      </dgm:t>
    </dgm:pt>
    <dgm:pt modelId="{BBD49351-B123-3746-B26F-7FEED4D54688}" type="parTrans" cxnId="{F05D0810-6B4A-A34D-A723-8C6101F28D2A}">
      <dgm:prSet/>
      <dgm:spPr/>
      <dgm:t>
        <a:bodyPr/>
        <a:lstStyle/>
        <a:p>
          <a:endParaRPr lang="en-GB"/>
        </a:p>
      </dgm:t>
    </dgm:pt>
    <dgm:pt modelId="{A6D2FBE6-A337-1D4E-9B30-B8BB0C9E36FC}" type="sibTrans" cxnId="{F05D0810-6B4A-A34D-A723-8C6101F28D2A}">
      <dgm:prSet/>
      <dgm:spPr/>
      <dgm:t>
        <a:bodyPr/>
        <a:lstStyle/>
        <a:p>
          <a:endParaRPr lang="en-GB"/>
        </a:p>
      </dgm:t>
    </dgm:pt>
    <dgm:pt modelId="{B9943FD5-FD93-AE42-A173-857426E8E594}">
      <dgm:prSet/>
      <dgm:spPr/>
      <dgm:t>
        <a:bodyPr/>
        <a:lstStyle/>
        <a:p>
          <a:r>
            <a:rPr lang="en-GB"/>
            <a:t>Input characteristic profile data defined in the energy audit into yellow highlited cells</a:t>
          </a:r>
        </a:p>
      </dgm:t>
    </dgm:pt>
    <dgm:pt modelId="{50F602D1-8A04-344F-8009-961614469B91}" type="parTrans" cxnId="{B6C60AC9-5721-DB4C-9A1E-6A0D99A57867}">
      <dgm:prSet/>
      <dgm:spPr/>
      <dgm:t>
        <a:bodyPr/>
        <a:lstStyle/>
        <a:p>
          <a:endParaRPr lang="en-GB"/>
        </a:p>
      </dgm:t>
    </dgm:pt>
    <dgm:pt modelId="{CDABBDB2-E390-294F-A07F-496E31CEFB7A}" type="sibTrans" cxnId="{B6C60AC9-5721-DB4C-9A1E-6A0D99A57867}">
      <dgm:prSet/>
      <dgm:spPr/>
      <dgm:t>
        <a:bodyPr/>
        <a:lstStyle/>
        <a:p>
          <a:endParaRPr lang="en-GB"/>
        </a:p>
      </dgm:t>
    </dgm:pt>
    <dgm:pt modelId="{3AF157B4-8BA7-2B4D-8AA5-398910917490}">
      <dgm:prSet/>
      <dgm:spPr/>
      <dgm:t>
        <a:bodyPr/>
        <a:lstStyle/>
        <a:p>
          <a:r>
            <a:rPr lang="en-GB"/>
            <a:t>Input data on lighting system usage into yellow highlited cells</a:t>
          </a:r>
        </a:p>
      </dgm:t>
    </dgm:pt>
    <dgm:pt modelId="{57063183-EF66-C340-8CFC-136B03FF6121}" type="parTrans" cxnId="{EA1A0111-4CF5-B04B-BA15-3B148CD91ACF}">
      <dgm:prSet/>
      <dgm:spPr/>
      <dgm:t>
        <a:bodyPr/>
        <a:lstStyle/>
        <a:p>
          <a:endParaRPr lang="en-GB"/>
        </a:p>
      </dgm:t>
    </dgm:pt>
    <dgm:pt modelId="{0A24EC9A-AD3C-524C-B4DB-1CE9091FE13A}" type="sibTrans" cxnId="{EA1A0111-4CF5-B04B-BA15-3B148CD91ACF}">
      <dgm:prSet/>
      <dgm:spPr/>
      <dgm:t>
        <a:bodyPr/>
        <a:lstStyle/>
        <a:p>
          <a:endParaRPr lang="en-GB"/>
        </a:p>
      </dgm:t>
    </dgm:pt>
    <dgm:pt modelId="{1F5C8262-73AA-4144-A801-DF5B1139392B}">
      <dgm:prSet/>
      <dgm:spPr/>
      <dgm:t>
        <a:bodyPr/>
        <a:lstStyle/>
        <a:p>
          <a:r>
            <a:rPr lang="en-GB"/>
            <a:t>Define electricity prices (EUR/kWh) and luminaire unit prices into yellow highlited cells</a:t>
          </a:r>
        </a:p>
      </dgm:t>
    </dgm:pt>
    <dgm:pt modelId="{82DBBECD-101C-9549-89B8-DC6A9027173D}" type="parTrans" cxnId="{5ED581A6-C607-E04D-829B-326781B691BB}">
      <dgm:prSet/>
      <dgm:spPr/>
      <dgm:t>
        <a:bodyPr/>
        <a:lstStyle/>
        <a:p>
          <a:endParaRPr lang="en-GB"/>
        </a:p>
      </dgm:t>
    </dgm:pt>
    <dgm:pt modelId="{EB878D8E-7F6C-B947-877F-F1C2603D1119}" type="sibTrans" cxnId="{5ED581A6-C607-E04D-829B-326781B691BB}">
      <dgm:prSet/>
      <dgm:spPr/>
      <dgm:t>
        <a:bodyPr/>
        <a:lstStyle/>
        <a:p>
          <a:endParaRPr lang="en-GB"/>
        </a:p>
      </dgm:t>
    </dgm:pt>
    <dgm:pt modelId="{082CAF89-AA35-B04F-A8A5-EBD4454B07DB}">
      <dgm:prSet/>
      <dgm:spPr/>
      <dgm:t>
        <a:bodyPr/>
        <a:lstStyle/>
        <a:p>
          <a:r>
            <a:rPr lang="en-GB"/>
            <a:t>Display of calculation results</a:t>
          </a:r>
        </a:p>
      </dgm:t>
    </dgm:pt>
    <dgm:pt modelId="{B40921B5-3873-7240-8EC7-FECE32BA180C}" type="parTrans" cxnId="{0EAB4FD9-A7C0-7244-8608-B348B7686CE9}">
      <dgm:prSet/>
      <dgm:spPr/>
      <dgm:t>
        <a:bodyPr/>
        <a:lstStyle/>
        <a:p>
          <a:endParaRPr lang="en-GB"/>
        </a:p>
      </dgm:t>
    </dgm:pt>
    <dgm:pt modelId="{A79EA5EB-2300-A445-8737-2923A5FE8BB6}" type="sibTrans" cxnId="{0EAB4FD9-A7C0-7244-8608-B348B7686CE9}">
      <dgm:prSet/>
      <dgm:spPr/>
      <dgm:t>
        <a:bodyPr/>
        <a:lstStyle/>
        <a:p>
          <a:endParaRPr lang="en-GB"/>
        </a:p>
      </dgm:t>
    </dgm:pt>
    <dgm:pt modelId="{BD0BD774-32EA-F845-9D83-3BD29F406EAB}">
      <dgm:prSet/>
      <dgm:spPr/>
      <dgm:t>
        <a:bodyPr/>
        <a:lstStyle/>
        <a:p>
          <a:r>
            <a:rPr lang="en-GB"/>
            <a:t>Calculations of investment, energy and costs savings</a:t>
          </a:r>
        </a:p>
      </dgm:t>
    </dgm:pt>
    <dgm:pt modelId="{ABD34E1D-18DD-BE48-94CC-B9E9FF5268C7}" type="parTrans" cxnId="{F3FBA9E7-7F07-B247-B180-BC24CA16F78A}">
      <dgm:prSet/>
      <dgm:spPr/>
      <dgm:t>
        <a:bodyPr/>
        <a:lstStyle/>
        <a:p>
          <a:endParaRPr lang="en-GB"/>
        </a:p>
      </dgm:t>
    </dgm:pt>
    <dgm:pt modelId="{8A038F16-2149-C24E-8003-35A3FD175C5C}" type="sibTrans" cxnId="{F3FBA9E7-7F07-B247-B180-BC24CA16F78A}">
      <dgm:prSet/>
      <dgm:spPr/>
      <dgm:t>
        <a:bodyPr/>
        <a:lstStyle/>
        <a:p>
          <a:endParaRPr lang="en-GB"/>
        </a:p>
      </dgm:t>
    </dgm:pt>
    <dgm:pt modelId="{937BBCB9-074F-8A4B-BFD0-F63AEB54A4F6}">
      <dgm:prSet/>
      <dgm:spPr/>
      <dgm:t>
        <a:bodyPr/>
        <a:lstStyle/>
        <a:p>
          <a:r>
            <a:rPr lang="en-GB"/>
            <a:t>Define scope of the reconstruction</a:t>
          </a:r>
        </a:p>
      </dgm:t>
    </dgm:pt>
    <dgm:pt modelId="{D5BEFA28-563A-EF4C-AD85-D6E2345E1DA8}" type="parTrans" cxnId="{10E88C3D-FF3C-AA47-ABB4-4A1290B034A2}">
      <dgm:prSet/>
      <dgm:spPr/>
      <dgm:t>
        <a:bodyPr/>
        <a:lstStyle/>
        <a:p>
          <a:endParaRPr lang="en-GB"/>
        </a:p>
      </dgm:t>
    </dgm:pt>
    <dgm:pt modelId="{498174A5-1D1F-F34E-9F43-2B85E710F7D6}" type="sibTrans" cxnId="{10E88C3D-FF3C-AA47-ABB4-4A1290B034A2}">
      <dgm:prSet/>
      <dgm:spPr/>
      <dgm:t>
        <a:bodyPr/>
        <a:lstStyle/>
        <a:p>
          <a:endParaRPr lang="en-GB"/>
        </a:p>
      </dgm:t>
    </dgm:pt>
    <dgm:pt modelId="{9EDBAA57-7201-1945-A15C-8EEF45244E2B}" type="pres">
      <dgm:prSet presAssocID="{EEF400FD-6A3F-574D-950A-A56E0D6320B0}" presName="linearFlow" presStyleCnt="0">
        <dgm:presLayoutVars>
          <dgm:dir/>
          <dgm:animLvl val="lvl"/>
          <dgm:resizeHandles val="exact"/>
        </dgm:presLayoutVars>
      </dgm:prSet>
      <dgm:spPr/>
    </dgm:pt>
    <dgm:pt modelId="{A4F99A6B-54FE-9C4F-BD5F-FDA1DB94AB49}" type="pres">
      <dgm:prSet presAssocID="{7B0F3F2A-EBEF-294F-B11B-F31519CE8085}" presName="composite" presStyleCnt="0"/>
      <dgm:spPr/>
    </dgm:pt>
    <dgm:pt modelId="{77A963A2-F1B8-AA48-8034-1775D5C4BC4E}" type="pres">
      <dgm:prSet presAssocID="{7B0F3F2A-EBEF-294F-B11B-F31519CE8085}" presName="parTx" presStyleLbl="node1" presStyleIdx="0" presStyleCnt="7">
        <dgm:presLayoutVars>
          <dgm:chMax val="0"/>
          <dgm:chPref val="0"/>
          <dgm:bulletEnabled val="1"/>
        </dgm:presLayoutVars>
      </dgm:prSet>
      <dgm:spPr/>
    </dgm:pt>
    <dgm:pt modelId="{537D24C6-C735-5A44-A099-9BC371AB7945}" type="pres">
      <dgm:prSet presAssocID="{7B0F3F2A-EBEF-294F-B11B-F31519CE8085}" presName="parSh" presStyleLbl="node1" presStyleIdx="0" presStyleCnt="7"/>
      <dgm:spPr/>
    </dgm:pt>
    <dgm:pt modelId="{4C59D3F0-AA85-554E-A3E0-07DFF0C5E443}" type="pres">
      <dgm:prSet presAssocID="{7B0F3F2A-EBEF-294F-B11B-F31519CE8085}" presName="desTx" presStyleLbl="fgAcc1" presStyleIdx="0" presStyleCnt="7">
        <dgm:presLayoutVars>
          <dgm:bulletEnabled val="1"/>
        </dgm:presLayoutVars>
      </dgm:prSet>
      <dgm:spPr/>
    </dgm:pt>
    <dgm:pt modelId="{D383B386-B6AB-714B-8434-DF5B59D42BBB}" type="pres">
      <dgm:prSet presAssocID="{01041A87-568A-CC4B-B6B4-5DD0E8EC2F67}" presName="sibTrans" presStyleLbl="sibTrans2D1" presStyleIdx="0" presStyleCnt="6"/>
      <dgm:spPr/>
    </dgm:pt>
    <dgm:pt modelId="{D6D74E3B-0A72-3F42-A1EA-6A8EA3894B00}" type="pres">
      <dgm:prSet presAssocID="{01041A87-568A-CC4B-B6B4-5DD0E8EC2F67}" presName="connTx" presStyleLbl="sibTrans2D1" presStyleIdx="0" presStyleCnt="6"/>
      <dgm:spPr/>
    </dgm:pt>
    <dgm:pt modelId="{1708FF43-4FBE-724F-AE3E-8C89C1FF0385}" type="pres">
      <dgm:prSet presAssocID="{FA01DFD0-F880-C34E-B149-75C8B0E9BD1E}" presName="composite" presStyleCnt="0"/>
      <dgm:spPr/>
    </dgm:pt>
    <dgm:pt modelId="{0ED7FC5E-DACD-DE41-9AC5-CCBF18C5CDE7}" type="pres">
      <dgm:prSet presAssocID="{FA01DFD0-F880-C34E-B149-75C8B0E9BD1E}" presName="parTx" presStyleLbl="node1" presStyleIdx="0" presStyleCnt="7">
        <dgm:presLayoutVars>
          <dgm:chMax val="0"/>
          <dgm:chPref val="0"/>
          <dgm:bulletEnabled val="1"/>
        </dgm:presLayoutVars>
      </dgm:prSet>
      <dgm:spPr/>
    </dgm:pt>
    <dgm:pt modelId="{84F6AA15-41BC-B44C-8CD7-C315EA0B89C9}" type="pres">
      <dgm:prSet presAssocID="{FA01DFD0-F880-C34E-B149-75C8B0E9BD1E}" presName="parSh" presStyleLbl="node1" presStyleIdx="1" presStyleCnt="7" custLinFactNeighborX="-23701" custLinFactNeighborY="-2414"/>
      <dgm:spPr/>
    </dgm:pt>
    <dgm:pt modelId="{95F7C1D1-3B82-C045-ADA9-AAACFDC53B00}" type="pres">
      <dgm:prSet presAssocID="{FA01DFD0-F880-C34E-B149-75C8B0E9BD1E}" presName="desTx" presStyleLbl="fgAcc1" presStyleIdx="1" presStyleCnt="7" custLinFactNeighborX="-17464">
        <dgm:presLayoutVars>
          <dgm:bulletEnabled val="1"/>
        </dgm:presLayoutVars>
      </dgm:prSet>
      <dgm:spPr/>
    </dgm:pt>
    <dgm:pt modelId="{01C50CF7-5E42-3149-BA15-775A161FD613}" type="pres">
      <dgm:prSet presAssocID="{AD0ED6E6-7836-3B4F-97EE-B9BD234FCE20}" presName="sibTrans" presStyleLbl="sibTrans2D1" presStyleIdx="1" presStyleCnt="6"/>
      <dgm:spPr/>
    </dgm:pt>
    <dgm:pt modelId="{743FC6BF-EDE0-AB4D-8658-1D6397654578}" type="pres">
      <dgm:prSet presAssocID="{AD0ED6E6-7836-3B4F-97EE-B9BD234FCE20}" presName="connTx" presStyleLbl="sibTrans2D1" presStyleIdx="1" presStyleCnt="6"/>
      <dgm:spPr/>
    </dgm:pt>
    <dgm:pt modelId="{8FC8C724-0123-6047-BED4-036765D9D153}" type="pres">
      <dgm:prSet presAssocID="{588958AD-0688-CA4A-82BC-2CF34CDBBA89}" presName="composite" presStyleCnt="0"/>
      <dgm:spPr/>
    </dgm:pt>
    <dgm:pt modelId="{2D5E2FA6-B807-AD4F-9FDA-D8C9DDE2E3AC}" type="pres">
      <dgm:prSet presAssocID="{588958AD-0688-CA4A-82BC-2CF34CDBBA89}" presName="parTx" presStyleLbl="node1" presStyleIdx="1" presStyleCnt="7">
        <dgm:presLayoutVars>
          <dgm:chMax val="0"/>
          <dgm:chPref val="0"/>
          <dgm:bulletEnabled val="1"/>
        </dgm:presLayoutVars>
      </dgm:prSet>
      <dgm:spPr/>
    </dgm:pt>
    <dgm:pt modelId="{7F110DB1-C50B-CC41-8B21-80A74E353208}" type="pres">
      <dgm:prSet presAssocID="{588958AD-0688-CA4A-82BC-2CF34CDBBA89}" presName="parSh" presStyleLbl="node1" presStyleIdx="2" presStyleCnt="7" custLinFactNeighborX="-27444" custLinFactNeighborY="-2414"/>
      <dgm:spPr/>
    </dgm:pt>
    <dgm:pt modelId="{E5182C0D-41D2-D446-800D-B63426A91F9B}" type="pres">
      <dgm:prSet presAssocID="{588958AD-0688-CA4A-82BC-2CF34CDBBA89}" presName="desTx" presStyleLbl="fgAcc1" presStyleIdx="2" presStyleCnt="7" custLinFactNeighborX="-18712">
        <dgm:presLayoutVars>
          <dgm:bulletEnabled val="1"/>
        </dgm:presLayoutVars>
      </dgm:prSet>
      <dgm:spPr/>
    </dgm:pt>
    <dgm:pt modelId="{0ABE906C-3C32-6B4A-931E-9312E933E689}" type="pres">
      <dgm:prSet presAssocID="{54B34398-110F-244C-B32F-2733F51451EB}" presName="sibTrans" presStyleLbl="sibTrans2D1" presStyleIdx="2" presStyleCnt="6"/>
      <dgm:spPr/>
    </dgm:pt>
    <dgm:pt modelId="{54601E17-59C0-A84F-87DA-8DCE0717622D}" type="pres">
      <dgm:prSet presAssocID="{54B34398-110F-244C-B32F-2733F51451EB}" presName="connTx" presStyleLbl="sibTrans2D1" presStyleIdx="2" presStyleCnt="6"/>
      <dgm:spPr/>
    </dgm:pt>
    <dgm:pt modelId="{7607C734-2333-3E42-8C41-9D9EB857B1D5}" type="pres">
      <dgm:prSet presAssocID="{5C9AF45B-097B-7C46-9F48-F39E94CB9408}" presName="composite" presStyleCnt="0"/>
      <dgm:spPr/>
    </dgm:pt>
    <dgm:pt modelId="{D8BCBF5B-CDC5-134D-922B-F6F4BE09B2DD}" type="pres">
      <dgm:prSet presAssocID="{5C9AF45B-097B-7C46-9F48-F39E94CB9408}" presName="parTx" presStyleLbl="node1" presStyleIdx="2" presStyleCnt="7">
        <dgm:presLayoutVars>
          <dgm:chMax val="0"/>
          <dgm:chPref val="0"/>
          <dgm:bulletEnabled val="1"/>
        </dgm:presLayoutVars>
      </dgm:prSet>
      <dgm:spPr/>
    </dgm:pt>
    <dgm:pt modelId="{1F4CCE57-1EB0-1E4A-9CA1-7EEB79B13BB3}" type="pres">
      <dgm:prSet presAssocID="{5C9AF45B-097B-7C46-9F48-F39E94CB9408}" presName="parSh" presStyleLbl="node1" presStyleIdx="3" presStyleCnt="7" custLinFactNeighborX="-36811" custLinFactNeighborY="-2414"/>
      <dgm:spPr/>
    </dgm:pt>
    <dgm:pt modelId="{02DD72F9-7939-9044-974F-225C97970775}" type="pres">
      <dgm:prSet presAssocID="{5C9AF45B-097B-7C46-9F48-F39E94CB9408}" presName="desTx" presStyleLbl="fgAcc1" presStyleIdx="3" presStyleCnt="7" custLinFactNeighborX="-21448" custLinFactNeighborY="133">
        <dgm:presLayoutVars>
          <dgm:bulletEnabled val="1"/>
        </dgm:presLayoutVars>
      </dgm:prSet>
      <dgm:spPr/>
    </dgm:pt>
    <dgm:pt modelId="{AD08C3BF-3876-E24A-B23E-1EA467458372}" type="pres">
      <dgm:prSet presAssocID="{B2CB6571-7CA9-4841-A75D-2C6DB6BA80E1}" presName="sibTrans" presStyleLbl="sibTrans2D1" presStyleIdx="3" presStyleCnt="6" custAng="21547018" custLinFactNeighborX="-64353" custLinFactNeighborY="42536"/>
      <dgm:spPr>
        <a:xfrm rot="5399986">
          <a:off x="4445499" y="4324611"/>
          <a:ext cx="503040" cy="252916"/>
        </a:xfrm>
        <a:prstGeom prst="rightArrow">
          <a:avLst>
            <a:gd name="adj1" fmla="val 60000"/>
            <a:gd name="adj2" fmla="val 50000"/>
          </a:avLst>
        </a:prstGeom>
      </dgm:spPr>
    </dgm:pt>
    <dgm:pt modelId="{B492EC9F-136B-A848-A5C2-6933EB4E8B61}" type="pres">
      <dgm:prSet presAssocID="{B2CB6571-7CA9-4841-A75D-2C6DB6BA80E1}" presName="connTx" presStyleLbl="sibTrans2D1" presStyleIdx="3" presStyleCnt="6"/>
      <dgm:spPr/>
    </dgm:pt>
    <dgm:pt modelId="{6534A52D-CC5C-AB49-A5AB-1C0EDE689A87}" type="pres">
      <dgm:prSet presAssocID="{B848DBC8-4D2F-0343-B6B9-456771F3BB02}" presName="composite" presStyleCnt="0"/>
      <dgm:spPr/>
    </dgm:pt>
    <dgm:pt modelId="{0CF5EBDE-8A8D-B243-8005-9803BD6C474A}" type="pres">
      <dgm:prSet presAssocID="{B848DBC8-4D2F-0343-B6B9-456771F3BB02}" presName="parTx" presStyleLbl="node1" presStyleIdx="3" presStyleCnt="7">
        <dgm:presLayoutVars>
          <dgm:chMax val="0"/>
          <dgm:chPref val="0"/>
          <dgm:bulletEnabled val="1"/>
        </dgm:presLayoutVars>
      </dgm:prSet>
      <dgm:spPr/>
    </dgm:pt>
    <dgm:pt modelId="{83EAA73D-86F4-F84F-8C2C-3E9EE54ACE82}" type="pres">
      <dgm:prSet presAssocID="{B848DBC8-4D2F-0343-B6B9-456771F3BB02}" presName="parSh" presStyleLbl="node1" presStyleIdx="4" presStyleCnt="7" custLinFactX="-99420" custLinFactY="100000" custLinFactNeighborX="-100000" custLinFactNeighborY="145015"/>
      <dgm:spPr/>
    </dgm:pt>
    <dgm:pt modelId="{5A255C92-17C2-344B-87E8-6FA571FAAC18}" type="pres">
      <dgm:prSet presAssocID="{B848DBC8-4D2F-0343-B6B9-456771F3BB02}" presName="desTx" presStyleLbl="fgAcc1" presStyleIdx="4" presStyleCnt="7" custScaleY="71990" custLinFactX="-88164" custLinFactY="79538" custLinFactNeighborX="-100000" custLinFactNeighborY="100000">
        <dgm:presLayoutVars>
          <dgm:bulletEnabled val="1"/>
        </dgm:presLayoutVars>
      </dgm:prSet>
      <dgm:spPr/>
    </dgm:pt>
    <dgm:pt modelId="{FA108E37-5838-0B41-B0A6-6CB2CB7E0D64}" type="pres">
      <dgm:prSet presAssocID="{53318B5E-D646-8347-909B-52A8C806E495}" presName="sibTrans" presStyleLbl="sibTrans2D1" presStyleIdx="4" presStyleCnt="6"/>
      <dgm:spPr/>
    </dgm:pt>
    <dgm:pt modelId="{03ED2D5E-0B91-B449-A339-82FF473D6FA5}" type="pres">
      <dgm:prSet presAssocID="{53318B5E-D646-8347-909B-52A8C806E495}" presName="connTx" presStyleLbl="sibTrans2D1" presStyleIdx="4" presStyleCnt="6"/>
      <dgm:spPr/>
    </dgm:pt>
    <dgm:pt modelId="{42283E73-4BEE-7A4C-8D57-2FBADF17A37B}" type="pres">
      <dgm:prSet presAssocID="{4130529C-DE8F-A74F-BEAE-3553F1C8B615}" presName="composite" presStyleCnt="0"/>
      <dgm:spPr/>
    </dgm:pt>
    <dgm:pt modelId="{BF1E3AE5-996C-F04A-9521-BBB78CEADE19}" type="pres">
      <dgm:prSet presAssocID="{4130529C-DE8F-A74F-BEAE-3553F1C8B615}" presName="parTx" presStyleLbl="node1" presStyleIdx="4" presStyleCnt="7">
        <dgm:presLayoutVars>
          <dgm:chMax val="0"/>
          <dgm:chPref val="0"/>
          <dgm:bulletEnabled val="1"/>
        </dgm:presLayoutVars>
      </dgm:prSet>
      <dgm:spPr/>
    </dgm:pt>
    <dgm:pt modelId="{1D79D4E7-E5D1-6C4C-919D-EEF6DCD87B5C}" type="pres">
      <dgm:prSet presAssocID="{4130529C-DE8F-A74F-BEAE-3553F1C8B615}" presName="parSh" presStyleLbl="node1" presStyleIdx="5" presStyleCnt="7" custLinFactX="-204999" custLinFactY="100000" custLinFactNeighborX="-300000" custLinFactNeighborY="154337"/>
      <dgm:spPr/>
    </dgm:pt>
    <dgm:pt modelId="{2C2BDDD6-DD4E-074F-8DBA-89D0A526DD44}" type="pres">
      <dgm:prSet presAssocID="{4130529C-DE8F-A74F-BEAE-3553F1C8B615}" presName="desTx" presStyleLbl="fgAcc1" presStyleIdx="5" presStyleCnt="7" custScaleY="73757" custLinFactX="-200000" custLinFactY="74548" custLinFactNeighborX="-295688" custLinFactNeighborY="100000">
        <dgm:presLayoutVars>
          <dgm:bulletEnabled val="1"/>
        </dgm:presLayoutVars>
      </dgm:prSet>
      <dgm:spPr/>
    </dgm:pt>
    <dgm:pt modelId="{D1243174-7923-3949-B5AB-48652495890B}" type="pres">
      <dgm:prSet presAssocID="{72CDDCBE-D98A-4F43-81D5-8CA5F4AC9AA7}" presName="sibTrans" presStyleLbl="sibTrans2D1" presStyleIdx="5" presStyleCnt="6"/>
      <dgm:spPr/>
    </dgm:pt>
    <dgm:pt modelId="{910375F2-659C-D04A-A4F6-B2EAAE82AAA4}" type="pres">
      <dgm:prSet presAssocID="{72CDDCBE-D98A-4F43-81D5-8CA5F4AC9AA7}" presName="connTx" presStyleLbl="sibTrans2D1" presStyleIdx="5" presStyleCnt="6"/>
      <dgm:spPr/>
    </dgm:pt>
    <dgm:pt modelId="{BA4546D2-2AFB-8845-A659-853617FF879D}" type="pres">
      <dgm:prSet presAssocID="{C98F32C9-E935-7C4F-93DA-E7C4FA09E986}" presName="composite" presStyleCnt="0"/>
      <dgm:spPr/>
    </dgm:pt>
    <dgm:pt modelId="{A644D2EC-AE32-3249-A486-A27E41FBAE74}" type="pres">
      <dgm:prSet presAssocID="{C98F32C9-E935-7C4F-93DA-E7C4FA09E986}" presName="parTx" presStyleLbl="node1" presStyleIdx="5" presStyleCnt="7">
        <dgm:presLayoutVars>
          <dgm:chMax val="0"/>
          <dgm:chPref val="0"/>
          <dgm:bulletEnabled val="1"/>
        </dgm:presLayoutVars>
      </dgm:prSet>
      <dgm:spPr/>
    </dgm:pt>
    <dgm:pt modelId="{21FFF71A-3E4F-8542-974F-0C2E160C0F5A}" type="pres">
      <dgm:prSet presAssocID="{C98F32C9-E935-7C4F-93DA-E7C4FA09E986}" presName="parSh" presStyleLbl="node1" presStyleIdx="6" presStyleCnt="7" custLinFactX="-400000" custLinFactY="100000" custLinFactNeighborX="-417710" custLinFactNeighborY="149843"/>
      <dgm:spPr/>
    </dgm:pt>
    <dgm:pt modelId="{CB3C4ADC-C29D-3D45-90B9-FDFFD1E32E83}" type="pres">
      <dgm:prSet presAssocID="{C98F32C9-E935-7C4F-93DA-E7C4FA09E986}" presName="desTx" presStyleLbl="fgAcc1" presStyleIdx="6" presStyleCnt="7" custScaleY="76010" custLinFactX="-400000" custLinFactY="73422" custLinFactNeighborX="-408225" custLinFactNeighborY="100000">
        <dgm:presLayoutVars>
          <dgm:bulletEnabled val="1"/>
        </dgm:presLayoutVars>
      </dgm:prSet>
      <dgm:spPr/>
    </dgm:pt>
  </dgm:ptLst>
  <dgm:cxnLst>
    <dgm:cxn modelId="{A71E3507-AA04-094B-B374-E79E09F5C020}" type="presOf" srcId="{588958AD-0688-CA4A-82BC-2CF34CDBBA89}" destId="{7F110DB1-C50B-CC41-8B21-80A74E353208}" srcOrd="1" destOrd="0" presId="urn:microsoft.com/office/officeart/2005/8/layout/process3"/>
    <dgm:cxn modelId="{60DD5C0E-0D85-274B-B6EF-A32D649C0825}" type="presOf" srcId="{F5398F1F-28C8-6D40-BDD3-EC6584075620}" destId="{95F7C1D1-3B82-C045-ADA9-AAACFDC53B00}" srcOrd="0" destOrd="0" presId="urn:microsoft.com/office/officeart/2005/8/layout/process3"/>
    <dgm:cxn modelId="{F05D0810-6B4A-A34D-A723-8C6101F28D2A}" srcId="{FA01DFD0-F880-C34E-B149-75C8B0E9BD1E}" destId="{F5398F1F-28C8-6D40-BDD3-EC6584075620}" srcOrd="0" destOrd="0" parTransId="{BBD49351-B123-3746-B26F-7FEED4D54688}" sibTransId="{A6D2FBE6-A337-1D4E-9B30-B8BB0C9E36FC}"/>
    <dgm:cxn modelId="{EA1A0111-4CF5-B04B-BA15-3B148CD91ACF}" srcId="{5C9AF45B-097B-7C46-9F48-F39E94CB9408}" destId="{3AF157B4-8BA7-2B4D-8AA5-398910917490}" srcOrd="0" destOrd="0" parTransId="{57063183-EF66-C340-8CFC-136B03FF6121}" sibTransId="{0A24EC9A-AD3C-524C-B4DB-1CE9091FE13A}"/>
    <dgm:cxn modelId="{D27F6111-825E-934D-8463-B24E77729A50}" type="presOf" srcId="{53318B5E-D646-8347-909B-52A8C806E495}" destId="{03ED2D5E-0B91-B449-A339-82FF473D6FA5}" srcOrd="1" destOrd="0" presId="urn:microsoft.com/office/officeart/2005/8/layout/process3"/>
    <dgm:cxn modelId="{5BDCD912-0AF0-384B-A4BC-B80F1DB16ACA}" srcId="{7B0F3F2A-EBEF-294F-B11B-F31519CE8085}" destId="{6656E091-9D41-B94E-843B-5F13B9E605B2}" srcOrd="0" destOrd="0" parTransId="{5C8CA56C-F1BA-D949-815B-A6BF4B1FEE5F}" sibTransId="{6A465E45-5D9A-924D-B609-EF382FC12D69}"/>
    <dgm:cxn modelId="{25471715-652E-D146-86C7-200156879227}" srcId="{EEF400FD-6A3F-574D-950A-A56E0D6320B0}" destId="{5C9AF45B-097B-7C46-9F48-F39E94CB9408}" srcOrd="3" destOrd="0" parTransId="{82390EA8-4DF7-F849-82AF-6EA4629915A7}" sibTransId="{B2CB6571-7CA9-4841-A75D-2C6DB6BA80E1}"/>
    <dgm:cxn modelId="{339DF315-C96F-FB4E-92E0-27BCD3B1EE1B}" type="presOf" srcId="{4130529C-DE8F-A74F-BEAE-3553F1C8B615}" destId="{1D79D4E7-E5D1-6C4C-919D-EEF6DCD87B5C}" srcOrd="1" destOrd="0" presId="urn:microsoft.com/office/officeart/2005/8/layout/process3"/>
    <dgm:cxn modelId="{2D919D21-F6EF-A940-9F97-0BC2D9166127}" type="presOf" srcId="{FA01DFD0-F880-C34E-B149-75C8B0E9BD1E}" destId="{84F6AA15-41BC-B44C-8CD7-C315EA0B89C9}" srcOrd="1" destOrd="0" presId="urn:microsoft.com/office/officeart/2005/8/layout/process3"/>
    <dgm:cxn modelId="{4F008A24-C21E-1D46-AB07-A739BE4C15B7}" type="presOf" srcId="{937BBCB9-074F-8A4B-BFD0-F63AEB54A4F6}" destId="{CB3C4ADC-C29D-3D45-90B9-FDFFD1E32E83}" srcOrd="0" destOrd="0" presId="urn:microsoft.com/office/officeart/2005/8/layout/process3"/>
    <dgm:cxn modelId="{193B7B28-92F7-B54B-BE53-B6FF9A153895}" type="presOf" srcId="{EEF400FD-6A3F-574D-950A-A56E0D6320B0}" destId="{9EDBAA57-7201-1945-A15C-8EEF45244E2B}" srcOrd="0" destOrd="0" presId="urn:microsoft.com/office/officeart/2005/8/layout/process3"/>
    <dgm:cxn modelId="{0F90B028-1993-3B40-ACA2-864D17CB87FB}" type="presOf" srcId="{588958AD-0688-CA4A-82BC-2CF34CDBBA89}" destId="{2D5E2FA6-B807-AD4F-9FDA-D8C9DDE2E3AC}" srcOrd="0" destOrd="0" presId="urn:microsoft.com/office/officeart/2005/8/layout/process3"/>
    <dgm:cxn modelId="{3CDA922A-858E-A34F-86A8-59715E9472A5}" type="presOf" srcId="{B2CB6571-7CA9-4841-A75D-2C6DB6BA80E1}" destId="{AD08C3BF-3876-E24A-B23E-1EA467458372}" srcOrd="0" destOrd="0" presId="urn:microsoft.com/office/officeart/2005/8/layout/process3"/>
    <dgm:cxn modelId="{52D50F2D-75F7-5443-AE63-6F2E1DE9AAB8}" type="presOf" srcId="{5C9AF45B-097B-7C46-9F48-F39E94CB9408}" destId="{1F4CCE57-1EB0-1E4A-9CA1-7EEB79B13BB3}" srcOrd="1" destOrd="0" presId="urn:microsoft.com/office/officeart/2005/8/layout/process3"/>
    <dgm:cxn modelId="{A72FEF3C-FD32-A34C-9225-2BE3A8276D50}" type="presOf" srcId="{C98F32C9-E935-7C4F-93DA-E7C4FA09E986}" destId="{21FFF71A-3E4F-8542-974F-0C2E160C0F5A}" srcOrd="1" destOrd="0" presId="urn:microsoft.com/office/officeart/2005/8/layout/process3"/>
    <dgm:cxn modelId="{10E88C3D-FF3C-AA47-ABB4-4A1290B034A2}" srcId="{C98F32C9-E935-7C4F-93DA-E7C4FA09E986}" destId="{937BBCB9-074F-8A4B-BFD0-F63AEB54A4F6}" srcOrd="0" destOrd="0" parTransId="{D5BEFA28-563A-EF4C-AD85-D6E2345E1DA8}" sibTransId="{498174A5-1D1F-F34E-9F43-2B85E710F7D6}"/>
    <dgm:cxn modelId="{B03CF63E-5F47-5148-8869-719D61D06695}" type="presOf" srcId="{B848DBC8-4D2F-0343-B6B9-456771F3BB02}" destId="{0CF5EBDE-8A8D-B243-8005-9803BD6C474A}" srcOrd="0" destOrd="0" presId="urn:microsoft.com/office/officeart/2005/8/layout/process3"/>
    <dgm:cxn modelId="{23AFF643-E213-8549-915D-89607CEC8DC5}" srcId="{EEF400FD-6A3F-574D-950A-A56E0D6320B0}" destId="{4130529C-DE8F-A74F-BEAE-3553F1C8B615}" srcOrd="5" destOrd="0" parTransId="{9A3152AB-AF45-5D47-B2DD-646ECFF74052}" sibTransId="{72CDDCBE-D98A-4F43-81D5-8CA5F4AC9AA7}"/>
    <dgm:cxn modelId="{D3385461-3885-5246-BA61-3DAC251BF262}" type="presOf" srcId="{3AF157B4-8BA7-2B4D-8AA5-398910917490}" destId="{02DD72F9-7939-9044-974F-225C97970775}" srcOrd="0" destOrd="0" presId="urn:microsoft.com/office/officeart/2005/8/layout/process3"/>
    <dgm:cxn modelId="{7236B965-BD32-DF4D-801E-35A3013E7600}" srcId="{EEF400FD-6A3F-574D-950A-A56E0D6320B0}" destId="{B848DBC8-4D2F-0343-B6B9-456771F3BB02}" srcOrd="4" destOrd="0" parTransId="{F977F61B-EC53-7743-8FB1-06C73A5B63B1}" sibTransId="{53318B5E-D646-8347-909B-52A8C806E495}"/>
    <dgm:cxn modelId="{54C2CB66-7149-4444-A7BA-004A603CAE50}" type="presOf" srcId="{7B0F3F2A-EBEF-294F-B11B-F31519CE8085}" destId="{77A963A2-F1B8-AA48-8034-1775D5C4BC4E}" srcOrd="0" destOrd="0" presId="urn:microsoft.com/office/officeart/2005/8/layout/process3"/>
    <dgm:cxn modelId="{AB43F468-6C39-6940-BBAC-2A24C0DD5972}" type="presOf" srcId="{01041A87-568A-CC4B-B6B4-5DD0E8EC2F67}" destId="{D6D74E3B-0A72-3F42-A1EA-6A8EA3894B00}" srcOrd="1" destOrd="0" presId="urn:microsoft.com/office/officeart/2005/8/layout/process3"/>
    <dgm:cxn modelId="{09EFFB6D-D374-044C-A787-A9B1D83A47A4}" srcId="{EEF400FD-6A3F-574D-950A-A56E0D6320B0}" destId="{7B0F3F2A-EBEF-294F-B11B-F31519CE8085}" srcOrd="0" destOrd="0" parTransId="{E0CAEC7E-2ACF-5747-9229-528CABDFE1FA}" sibTransId="{01041A87-568A-CC4B-B6B4-5DD0E8EC2F67}"/>
    <dgm:cxn modelId="{78D45E78-DEAE-A542-B87A-827A17C34218}" type="presOf" srcId="{54B34398-110F-244C-B32F-2733F51451EB}" destId="{54601E17-59C0-A84F-87DA-8DCE0717622D}" srcOrd="1" destOrd="0" presId="urn:microsoft.com/office/officeart/2005/8/layout/process3"/>
    <dgm:cxn modelId="{A49B1B8D-419B-5043-9B2E-CC92CD3C47DE}" type="presOf" srcId="{B2CB6571-7CA9-4841-A75D-2C6DB6BA80E1}" destId="{B492EC9F-136B-A848-A5C2-6933EB4E8B61}" srcOrd="1" destOrd="0" presId="urn:microsoft.com/office/officeart/2005/8/layout/process3"/>
    <dgm:cxn modelId="{A19D2197-680A-0346-A3C8-3F3CDFDEAC67}" type="presOf" srcId="{AD0ED6E6-7836-3B4F-97EE-B9BD234FCE20}" destId="{743FC6BF-EDE0-AB4D-8658-1D6397654578}" srcOrd="1" destOrd="0" presId="urn:microsoft.com/office/officeart/2005/8/layout/process3"/>
    <dgm:cxn modelId="{CE6F3A99-F5AB-0E47-B9CC-B53BB5F3D684}" type="presOf" srcId="{AD0ED6E6-7836-3B4F-97EE-B9BD234FCE20}" destId="{01C50CF7-5E42-3149-BA15-775A161FD613}" srcOrd="0" destOrd="0" presId="urn:microsoft.com/office/officeart/2005/8/layout/process3"/>
    <dgm:cxn modelId="{0FF1919B-35A1-F940-9DDB-0C5B99F2409E}" srcId="{EEF400FD-6A3F-574D-950A-A56E0D6320B0}" destId="{FA01DFD0-F880-C34E-B149-75C8B0E9BD1E}" srcOrd="1" destOrd="0" parTransId="{1C39AAA7-B9FF-0D4F-9B72-B6D686373377}" sibTransId="{AD0ED6E6-7836-3B4F-97EE-B9BD234FCE20}"/>
    <dgm:cxn modelId="{54A275A2-5516-7145-AABC-9FFFBA94BC1C}" type="presOf" srcId="{1F5C8262-73AA-4144-A801-DF5B1139392B}" destId="{5A255C92-17C2-344B-87E8-6FA571FAAC18}" srcOrd="0" destOrd="0" presId="urn:microsoft.com/office/officeart/2005/8/layout/process3"/>
    <dgm:cxn modelId="{5ED581A6-C607-E04D-829B-326781B691BB}" srcId="{B848DBC8-4D2F-0343-B6B9-456771F3BB02}" destId="{1F5C8262-73AA-4144-A801-DF5B1139392B}" srcOrd="0" destOrd="0" parTransId="{82DBBECD-101C-9549-89B8-DC6A9027173D}" sibTransId="{EB878D8E-7F6C-B947-877F-F1C2603D1119}"/>
    <dgm:cxn modelId="{3D78E2A6-8A65-1541-9845-A4192D22D18D}" type="presOf" srcId="{72CDDCBE-D98A-4F43-81D5-8CA5F4AC9AA7}" destId="{910375F2-659C-D04A-A4F6-B2EAAE82AAA4}" srcOrd="1" destOrd="0" presId="urn:microsoft.com/office/officeart/2005/8/layout/process3"/>
    <dgm:cxn modelId="{8E386AAA-0136-5C40-ADA4-8838463E65A4}" type="presOf" srcId="{7B0F3F2A-EBEF-294F-B11B-F31519CE8085}" destId="{537D24C6-C735-5A44-A099-9BC371AB7945}" srcOrd="1" destOrd="0" presId="urn:microsoft.com/office/officeart/2005/8/layout/process3"/>
    <dgm:cxn modelId="{AF1480B0-172D-CB43-83F6-B70D323B078C}" type="presOf" srcId="{6656E091-9D41-B94E-843B-5F13B9E605B2}" destId="{4C59D3F0-AA85-554E-A3E0-07DFF0C5E443}" srcOrd="0" destOrd="0" presId="urn:microsoft.com/office/officeart/2005/8/layout/process3"/>
    <dgm:cxn modelId="{76CF4CB3-5E1D-374A-ABD4-18AC8DF8F391}" srcId="{EEF400FD-6A3F-574D-950A-A56E0D6320B0}" destId="{C98F32C9-E935-7C4F-93DA-E7C4FA09E986}" srcOrd="6" destOrd="0" parTransId="{8A3FFFFC-FFDE-4147-A801-A70D71BEFBE5}" sibTransId="{B0EC45D6-E76D-C34D-ACF2-AF67AAADC5A8}"/>
    <dgm:cxn modelId="{68104DB6-E98E-5A42-A6C3-A19919E4A186}" type="presOf" srcId="{4130529C-DE8F-A74F-BEAE-3553F1C8B615}" destId="{BF1E3AE5-996C-F04A-9521-BBB78CEADE19}" srcOrd="0" destOrd="0" presId="urn:microsoft.com/office/officeart/2005/8/layout/process3"/>
    <dgm:cxn modelId="{76161CBD-6FEF-E241-AA2F-B4D848A5B1FF}" type="presOf" srcId="{54B34398-110F-244C-B32F-2733F51451EB}" destId="{0ABE906C-3C32-6B4A-931E-9312E933E689}" srcOrd="0" destOrd="0" presId="urn:microsoft.com/office/officeart/2005/8/layout/process3"/>
    <dgm:cxn modelId="{78CB94C3-F07F-A045-8C13-64CAE43B9AF5}" type="presOf" srcId="{B9943FD5-FD93-AE42-A173-857426E8E594}" destId="{E5182C0D-41D2-D446-800D-B63426A91F9B}" srcOrd="0" destOrd="0" presId="urn:microsoft.com/office/officeart/2005/8/layout/process3"/>
    <dgm:cxn modelId="{B6C60AC9-5721-DB4C-9A1E-6A0D99A57867}" srcId="{588958AD-0688-CA4A-82BC-2CF34CDBBA89}" destId="{B9943FD5-FD93-AE42-A173-857426E8E594}" srcOrd="0" destOrd="0" parTransId="{50F602D1-8A04-344F-8009-961614469B91}" sibTransId="{CDABBDB2-E390-294F-A07F-496E31CEFB7A}"/>
    <dgm:cxn modelId="{A2C59BCA-30E0-C647-9FCF-CF9A23C232D7}" type="presOf" srcId="{FA01DFD0-F880-C34E-B149-75C8B0E9BD1E}" destId="{0ED7FC5E-DACD-DE41-9AC5-CCBF18C5CDE7}" srcOrd="0" destOrd="0" presId="urn:microsoft.com/office/officeart/2005/8/layout/process3"/>
    <dgm:cxn modelId="{110316CE-041A-FF4E-9FEF-99A1A595A67D}" type="presOf" srcId="{53318B5E-D646-8347-909B-52A8C806E495}" destId="{FA108E37-5838-0B41-B0A6-6CB2CB7E0D64}" srcOrd="0" destOrd="0" presId="urn:microsoft.com/office/officeart/2005/8/layout/process3"/>
    <dgm:cxn modelId="{7F5D98CF-8922-8C40-92BF-1F73F2B69443}" type="presOf" srcId="{C98F32C9-E935-7C4F-93DA-E7C4FA09E986}" destId="{A644D2EC-AE32-3249-A486-A27E41FBAE74}" srcOrd="0" destOrd="0" presId="urn:microsoft.com/office/officeart/2005/8/layout/process3"/>
    <dgm:cxn modelId="{805A97D3-C3F2-174F-9547-C2625F929373}" type="presOf" srcId="{5C9AF45B-097B-7C46-9F48-F39E94CB9408}" destId="{D8BCBF5B-CDC5-134D-922B-F6F4BE09B2DD}" srcOrd="0" destOrd="0" presId="urn:microsoft.com/office/officeart/2005/8/layout/process3"/>
    <dgm:cxn modelId="{0EAB4FD9-A7C0-7244-8608-B348B7686CE9}" srcId="{C98F32C9-E935-7C4F-93DA-E7C4FA09E986}" destId="{082CAF89-AA35-B04F-A8A5-EBD4454B07DB}" srcOrd="1" destOrd="0" parTransId="{B40921B5-3873-7240-8EC7-FECE32BA180C}" sibTransId="{A79EA5EB-2300-A445-8737-2923A5FE8BB6}"/>
    <dgm:cxn modelId="{9BC937E7-FE8A-664F-8E8D-7BCF3B101D2E}" type="presOf" srcId="{B848DBC8-4D2F-0343-B6B9-456771F3BB02}" destId="{83EAA73D-86F4-F84F-8C2C-3E9EE54ACE82}" srcOrd="1" destOrd="0" presId="urn:microsoft.com/office/officeart/2005/8/layout/process3"/>
    <dgm:cxn modelId="{F3FBA9E7-7F07-B247-B180-BC24CA16F78A}" srcId="{4130529C-DE8F-A74F-BEAE-3553F1C8B615}" destId="{BD0BD774-32EA-F845-9D83-3BD29F406EAB}" srcOrd="0" destOrd="0" parTransId="{ABD34E1D-18DD-BE48-94CC-B9E9FF5268C7}" sibTransId="{8A038F16-2149-C24E-8003-35A3FD175C5C}"/>
    <dgm:cxn modelId="{7E046CEE-BAD8-4446-B8C8-E92FC87005CA}" srcId="{EEF400FD-6A3F-574D-950A-A56E0D6320B0}" destId="{588958AD-0688-CA4A-82BC-2CF34CDBBA89}" srcOrd="2" destOrd="0" parTransId="{71CC8596-7EA3-D748-BB85-ACCC482FBCEC}" sibTransId="{54B34398-110F-244C-B32F-2733F51451EB}"/>
    <dgm:cxn modelId="{76DCCAF2-8929-7E48-9818-19F44432F98E}" type="presOf" srcId="{BD0BD774-32EA-F845-9D83-3BD29F406EAB}" destId="{2C2BDDD6-DD4E-074F-8DBA-89D0A526DD44}" srcOrd="0" destOrd="0" presId="urn:microsoft.com/office/officeart/2005/8/layout/process3"/>
    <dgm:cxn modelId="{D24ED8F2-CB24-794E-ABBB-73581068BB94}" type="presOf" srcId="{72CDDCBE-D98A-4F43-81D5-8CA5F4AC9AA7}" destId="{D1243174-7923-3949-B5AB-48652495890B}" srcOrd="0" destOrd="0" presId="urn:microsoft.com/office/officeart/2005/8/layout/process3"/>
    <dgm:cxn modelId="{D4B909F6-CB2E-DD4F-89C4-94D2C54A921F}" type="presOf" srcId="{082CAF89-AA35-B04F-A8A5-EBD4454B07DB}" destId="{CB3C4ADC-C29D-3D45-90B9-FDFFD1E32E83}" srcOrd="0" destOrd="1" presId="urn:microsoft.com/office/officeart/2005/8/layout/process3"/>
    <dgm:cxn modelId="{2B5EE1F8-6F45-3C47-9697-6E880B251F0E}" type="presOf" srcId="{01041A87-568A-CC4B-B6B4-5DD0E8EC2F67}" destId="{D383B386-B6AB-714B-8434-DF5B59D42BBB}" srcOrd="0" destOrd="0" presId="urn:microsoft.com/office/officeart/2005/8/layout/process3"/>
    <dgm:cxn modelId="{7AEA43E1-A712-D644-AD03-B3EAEC5EDA92}" type="presParOf" srcId="{9EDBAA57-7201-1945-A15C-8EEF45244E2B}" destId="{A4F99A6B-54FE-9C4F-BD5F-FDA1DB94AB49}" srcOrd="0" destOrd="0" presId="urn:microsoft.com/office/officeart/2005/8/layout/process3"/>
    <dgm:cxn modelId="{457FEDC9-1281-A743-80E8-0B7F1F889F7F}" type="presParOf" srcId="{A4F99A6B-54FE-9C4F-BD5F-FDA1DB94AB49}" destId="{77A963A2-F1B8-AA48-8034-1775D5C4BC4E}" srcOrd="0" destOrd="0" presId="urn:microsoft.com/office/officeart/2005/8/layout/process3"/>
    <dgm:cxn modelId="{A1347EF3-CB75-624B-8400-0D2401220CB7}" type="presParOf" srcId="{A4F99A6B-54FE-9C4F-BD5F-FDA1DB94AB49}" destId="{537D24C6-C735-5A44-A099-9BC371AB7945}" srcOrd="1" destOrd="0" presId="urn:microsoft.com/office/officeart/2005/8/layout/process3"/>
    <dgm:cxn modelId="{4B75058B-6739-C14B-AA02-E2439C5A321D}" type="presParOf" srcId="{A4F99A6B-54FE-9C4F-BD5F-FDA1DB94AB49}" destId="{4C59D3F0-AA85-554E-A3E0-07DFF0C5E443}" srcOrd="2" destOrd="0" presId="urn:microsoft.com/office/officeart/2005/8/layout/process3"/>
    <dgm:cxn modelId="{8C94189E-A538-0749-BFDF-E53A5D57F8E5}" type="presParOf" srcId="{9EDBAA57-7201-1945-A15C-8EEF45244E2B}" destId="{D383B386-B6AB-714B-8434-DF5B59D42BBB}" srcOrd="1" destOrd="0" presId="urn:microsoft.com/office/officeart/2005/8/layout/process3"/>
    <dgm:cxn modelId="{804D9713-72C5-ED41-A048-E41F09107B2A}" type="presParOf" srcId="{D383B386-B6AB-714B-8434-DF5B59D42BBB}" destId="{D6D74E3B-0A72-3F42-A1EA-6A8EA3894B00}" srcOrd="0" destOrd="0" presId="urn:microsoft.com/office/officeart/2005/8/layout/process3"/>
    <dgm:cxn modelId="{FA9F727D-17B6-9F44-9645-E5298CBD9145}" type="presParOf" srcId="{9EDBAA57-7201-1945-A15C-8EEF45244E2B}" destId="{1708FF43-4FBE-724F-AE3E-8C89C1FF0385}" srcOrd="2" destOrd="0" presId="urn:microsoft.com/office/officeart/2005/8/layout/process3"/>
    <dgm:cxn modelId="{27B68214-414A-904B-9F95-BEB457EB1457}" type="presParOf" srcId="{1708FF43-4FBE-724F-AE3E-8C89C1FF0385}" destId="{0ED7FC5E-DACD-DE41-9AC5-CCBF18C5CDE7}" srcOrd="0" destOrd="0" presId="urn:microsoft.com/office/officeart/2005/8/layout/process3"/>
    <dgm:cxn modelId="{FB8AC8F9-DD05-094E-A51B-A39D1259F781}" type="presParOf" srcId="{1708FF43-4FBE-724F-AE3E-8C89C1FF0385}" destId="{84F6AA15-41BC-B44C-8CD7-C315EA0B89C9}" srcOrd="1" destOrd="0" presId="urn:microsoft.com/office/officeart/2005/8/layout/process3"/>
    <dgm:cxn modelId="{B105328D-96E1-3546-BD9A-BC82B6FEB503}" type="presParOf" srcId="{1708FF43-4FBE-724F-AE3E-8C89C1FF0385}" destId="{95F7C1D1-3B82-C045-ADA9-AAACFDC53B00}" srcOrd="2" destOrd="0" presId="urn:microsoft.com/office/officeart/2005/8/layout/process3"/>
    <dgm:cxn modelId="{7B47F69F-95E6-074E-9A42-F9A9231AA68D}" type="presParOf" srcId="{9EDBAA57-7201-1945-A15C-8EEF45244E2B}" destId="{01C50CF7-5E42-3149-BA15-775A161FD613}" srcOrd="3" destOrd="0" presId="urn:microsoft.com/office/officeart/2005/8/layout/process3"/>
    <dgm:cxn modelId="{504012F0-DEF0-CB4B-A4DE-6BA651A4D11A}" type="presParOf" srcId="{01C50CF7-5E42-3149-BA15-775A161FD613}" destId="{743FC6BF-EDE0-AB4D-8658-1D6397654578}" srcOrd="0" destOrd="0" presId="urn:microsoft.com/office/officeart/2005/8/layout/process3"/>
    <dgm:cxn modelId="{7CBFD9F3-A3AA-1040-905D-C449E0C3526E}" type="presParOf" srcId="{9EDBAA57-7201-1945-A15C-8EEF45244E2B}" destId="{8FC8C724-0123-6047-BED4-036765D9D153}" srcOrd="4" destOrd="0" presId="urn:microsoft.com/office/officeart/2005/8/layout/process3"/>
    <dgm:cxn modelId="{8A01FAF5-5AD5-5345-8BEA-158794250BDE}" type="presParOf" srcId="{8FC8C724-0123-6047-BED4-036765D9D153}" destId="{2D5E2FA6-B807-AD4F-9FDA-D8C9DDE2E3AC}" srcOrd="0" destOrd="0" presId="urn:microsoft.com/office/officeart/2005/8/layout/process3"/>
    <dgm:cxn modelId="{EAC23B22-5261-6343-BD49-08E118C0FB1D}" type="presParOf" srcId="{8FC8C724-0123-6047-BED4-036765D9D153}" destId="{7F110DB1-C50B-CC41-8B21-80A74E353208}" srcOrd="1" destOrd="0" presId="urn:microsoft.com/office/officeart/2005/8/layout/process3"/>
    <dgm:cxn modelId="{B22EEF5A-170D-F944-9180-5358FD6BA141}" type="presParOf" srcId="{8FC8C724-0123-6047-BED4-036765D9D153}" destId="{E5182C0D-41D2-D446-800D-B63426A91F9B}" srcOrd="2" destOrd="0" presId="urn:microsoft.com/office/officeart/2005/8/layout/process3"/>
    <dgm:cxn modelId="{770E421E-386B-7F42-A092-AC4CEB1C5D7D}" type="presParOf" srcId="{9EDBAA57-7201-1945-A15C-8EEF45244E2B}" destId="{0ABE906C-3C32-6B4A-931E-9312E933E689}" srcOrd="5" destOrd="0" presId="urn:microsoft.com/office/officeart/2005/8/layout/process3"/>
    <dgm:cxn modelId="{AC115952-3F3B-E945-B731-12C75E81E197}" type="presParOf" srcId="{0ABE906C-3C32-6B4A-931E-9312E933E689}" destId="{54601E17-59C0-A84F-87DA-8DCE0717622D}" srcOrd="0" destOrd="0" presId="urn:microsoft.com/office/officeart/2005/8/layout/process3"/>
    <dgm:cxn modelId="{E20195A8-6934-C24A-B592-7466EADD2A3E}" type="presParOf" srcId="{9EDBAA57-7201-1945-A15C-8EEF45244E2B}" destId="{7607C734-2333-3E42-8C41-9D9EB857B1D5}" srcOrd="6" destOrd="0" presId="urn:microsoft.com/office/officeart/2005/8/layout/process3"/>
    <dgm:cxn modelId="{AF59F1F6-CAD8-E54C-8022-381E9483EBCE}" type="presParOf" srcId="{7607C734-2333-3E42-8C41-9D9EB857B1D5}" destId="{D8BCBF5B-CDC5-134D-922B-F6F4BE09B2DD}" srcOrd="0" destOrd="0" presId="urn:microsoft.com/office/officeart/2005/8/layout/process3"/>
    <dgm:cxn modelId="{E49E3ADC-D261-C64E-A680-8945A01EC079}" type="presParOf" srcId="{7607C734-2333-3E42-8C41-9D9EB857B1D5}" destId="{1F4CCE57-1EB0-1E4A-9CA1-7EEB79B13BB3}" srcOrd="1" destOrd="0" presId="urn:microsoft.com/office/officeart/2005/8/layout/process3"/>
    <dgm:cxn modelId="{65D2C60A-EF78-F746-9443-1933F2B3116D}" type="presParOf" srcId="{7607C734-2333-3E42-8C41-9D9EB857B1D5}" destId="{02DD72F9-7939-9044-974F-225C97970775}" srcOrd="2" destOrd="0" presId="urn:microsoft.com/office/officeart/2005/8/layout/process3"/>
    <dgm:cxn modelId="{76C6EC3D-3FB9-6943-91A9-D9D457F7B0BF}" type="presParOf" srcId="{9EDBAA57-7201-1945-A15C-8EEF45244E2B}" destId="{AD08C3BF-3876-E24A-B23E-1EA467458372}" srcOrd="7" destOrd="0" presId="urn:microsoft.com/office/officeart/2005/8/layout/process3"/>
    <dgm:cxn modelId="{5034D7A1-11FE-154F-82E3-EE41AF06CC4D}" type="presParOf" srcId="{AD08C3BF-3876-E24A-B23E-1EA467458372}" destId="{B492EC9F-136B-A848-A5C2-6933EB4E8B61}" srcOrd="0" destOrd="0" presId="urn:microsoft.com/office/officeart/2005/8/layout/process3"/>
    <dgm:cxn modelId="{A755C83B-9016-A945-939B-17D53007312D}" type="presParOf" srcId="{9EDBAA57-7201-1945-A15C-8EEF45244E2B}" destId="{6534A52D-CC5C-AB49-A5AB-1C0EDE689A87}" srcOrd="8" destOrd="0" presId="urn:microsoft.com/office/officeart/2005/8/layout/process3"/>
    <dgm:cxn modelId="{AC1F5F3C-2870-2645-BF43-977A7568963E}" type="presParOf" srcId="{6534A52D-CC5C-AB49-A5AB-1C0EDE689A87}" destId="{0CF5EBDE-8A8D-B243-8005-9803BD6C474A}" srcOrd="0" destOrd="0" presId="urn:microsoft.com/office/officeart/2005/8/layout/process3"/>
    <dgm:cxn modelId="{C6B903A6-D8B9-C644-907A-21A33A9D5C64}" type="presParOf" srcId="{6534A52D-CC5C-AB49-A5AB-1C0EDE689A87}" destId="{83EAA73D-86F4-F84F-8C2C-3E9EE54ACE82}" srcOrd="1" destOrd="0" presId="urn:microsoft.com/office/officeart/2005/8/layout/process3"/>
    <dgm:cxn modelId="{4CA992DB-3B71-044C-96FE-BCBEE25F4B19}" type="presParOf" srcId="{6534A52D-CC5C-AB49-A5AB-1C0EDE689A87}" destId="{5A255C92-17C2-344B-87E8-6FA571FAAC18}" srcOrd="2" destOrd="0" presId="urn:microsoft.com/office/officeart/2005/8/layout/process3"/>
    <dgm:cxn modelId="{EDA13415-956E-8D4E-9FD3-B9293766E93B}" type="presParOf" srcId="{9EDBAA57-7201-1945-A15C-8EEF45244E2B}" destId="{FA108E37-5838-0B41-B0A6-6CB2CB7E0D64}" srcOrd="9" destOrd="0" presId="urn:microsoft.com/office/officeart/2005/8/layout/process3"/>
    <dgm:cxn modelId="{C1D0225C-6C8E-5A41-B3F1-E1F22C06C9A5}" type="presParOf" srcId="{FA108E37-5838-0B41-B0A6-6CB2CB7E0D64}" destId="{03ED2D5E-0B91-B449-A339-82FF473D6FA5}" srcOrd="0" destOrd="0" presId="urn:microsoft.com/office/officeart/2005/8/layout/process3"/>
    <dgm:cxn modelId="{2294E78F-09F5-F542-ACDE-FBBB9969ABC4}" type="presParOf" srcId="{9EDBAA57-7201-1945-A15C-8EEF45244E2B}" destId="{42283E73-4BEE-7A4C-8D57-2FBADF17A37B}" srcOrd="10" destOrd="0" presId="urn:microsoft.com/office/officeart/2005/8/layout/process3"/>
    <dgm:cxn modelId="{3DC46D86-2E5A-8046-91F2-D870AE45C84F}" type="presParOf" srcId="{42283E73-4BEE-7A4C-8D57-2FBADF17A37B}" destId="{BF1E3AE5-996C-F04A-9521-BBB78CEADE19}" srcOrd="0" destOrd="0" presId="urn:microsoft.com/office/officeart/2005/8/layout/process3"/>
    <dgm:cxn modelId="{780CEDF0-054C-D340-B123-E1A63609081C}" type="presParOf" srcId="{42283E73-4BEE-7A4C-8D57-2FBADF17A37B}" destId="{1D79D4E7-E5D1-6C4C-919D-EEF6DCD87B5C}" srcOrd="1" destOrd="0" presId="urn:microsoft.com/office/officeart/2005/8/layout/process3"/>
    <dgm:cxn modelId="{B9B8CDCE-3A32-5947-8653-DB4F0DCA8686}" type="presParOf" srcId="{42283E73-4BEE-7A4C-8D57-2FBADF17A37B}" destId="{2C2BDDD6-DD4E-074F-8DBA-89D0A526DD44}" srcOrd="2" destOrd="0" presId="urn:microsoft.com/office/officeart/2005/8/layout/process3"/>
    <dgm:cxn modelId="{D676DC08-6BF6-F941-B284-8D6DC7F07928}" type="presParOf" srcId="{9EDBAA57-7201-1945-A15C-8EEF45244E2B}" destId="{D1243174-7923-3949-B5AB-48652495890B}" srcOrd="11" destOrd="0" presId="urn:microsoft.com/office/officeart/2005/8/layout/process3"/>
    <dgm:cxn modelId="{9A306108-F394-3C45-89B5-7F3EBCB88531}" type="presParOf" srcId="{D1243174-7923-3949-B5AB-48652495890B}" destId="{910375F2-659C-D04A-A4F6-B2EAAE82AAA4}" srcOrd="0" destOrd="0" presId="urn:microsoft.com/office/officeart/2005/8/layout/process3"/>
    <dgm:cxn modelId="{AC1308B5-A3FC-FC43-A176-8C66ABBD4AB6}" type="presParOf" srcId="{9EDBAA57-7201-1945-A15C-8EEF45244E2B}" destId="{BA4546D2-2AFB-8845-A659-853617FF879D}" srcOrd="12" destOrd="0" presId="urn:microsoft.com/office/officeart/2005/8/layout/process3"/>
    <dgm:cxn modelId="{5A488D47-68C9-4E48-BDA4-C89031FFE5BE}" type="presParOf" srcId="{BA4546D2-2AFB-8845-A659-853617FF879D}" destId="{A644D2EC-AE32-3249-A486-A27E41FBAE74}" srcOrd="0" destOrd="0" presId="urn:microsoft.com/office/officeart/2005/8/layout/process3"/>
    <dgm:cxn modelId="{796B4482-2B00-C448-9B41-076F663CCB01}" type="presParOf" srcId="{BA4546D2-2AFB-8845-A659-853617FF879D}" destId="{21FFF71A-3E4F-8542-974F-0C2E160C0F5A}" srcOrd="1" destOrd="0" presId="urn:microsoft.com/office/officeart/2005/8/layout/process3"/>
    <dgm:cxn modelId="{1F585E6D-F06F-0A47-BDE3-F76FE09DD105}" type="presParOf" srcId="{BA4546D2-2AFB-8845-A659-853617FF879D}" destId="{CB3C4ADC-C29D-3D45-90B9-FDFFD1E32E83}" srcOrd="2" destOrd="0" presId="urn:microsoft.com/office/officeart/2005/8/layout/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37D24C6-C735-5A44-A099-9BC371AB7945}">
      <dsp:nvSpPr>
        <dsp:cNvPr id="0" name=""/>
        <dsp:cNvSpPr/>
      </dsp:nvSpPr>
      <dsp:spPr>
        <a:xfrm>
          <a:off x="1472" y="3529644"/>
          <a:ext cx="1019363" cy="611618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2672" tIns="42672" rIns="42672" bIns="22860" numCol="1" spcCol="1270" anchor="t" anchorCtr="0">
          <a:noAutofit/>
        </a:bodyPr>
        <a:lstStyle/>
        <a:p>
          <a:pPr marL="0" lvl="0" indent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600" kern="1200"/>
            <a:t>STEP 1</a:t>
          </a:r>
        </a:p>
        <a:p>
          <a:pPr marL="0" lvl="0" indent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600" kern="1200"/>
            <a:t>Lamppost data</a:t>
          </a:r>
        </a:p>
      </dsp:txBody>
      <dsp:txXfrm>
        <a:off x="1472" y="3529644"/>
        <a:ext cx="1019363" cy="407745"/>
      </dsp:txXfrm>
    </dsp:sp>
    <dsp:sp modelId="{4C59D3F0-AA85-554E-A3E0-07DFF0C5E443}">
      <dsp:nvSpPr>
        <dsp:cNvPr id="0" name=""/>
        <dsp:cNvSpPr/>
      </dsp:nvSpPr>
      <dsp:spPr>
        <a:xfrm>
          <a:off x="210257" y="3937389"/>
          <a:ext cx="1019363" cy="843412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2672" tIns="42672" rIns="42672" bIns="42672" numCol="1" spcCol="1270" anchor="t" anchorCtr="0">
          <a:noAutofit/>
        </a:bodyPr>
        <a:lstStyle/>
        <a:p>
          <a:pPr marL="57150" lvl="1" indent="-57150" algn="l" defTabSz="2667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GB" sz="600" kern="1200"/>
            <a:t>Input lamppost data from the energy audit into yellow highlited cells</a:t>
          </a:r>
        </a:p>
      </dsp:txBody>
      <dsp:txXfrm>
        <a:off x="234960" y="3962092"/>
        <a:ext cx="969957" cy="794006"/>
      </dsp:txXfrm>
    </dsp:sp>
    <dsp:sp modelId="{D383B386-B6AB-714B-8434-DF5B59D42BBB}">
      <dsp:nvSpPr>
        <dsp:cNvPr id="0" name=""/>
        <dsp:cNvSpPr/>
      </dsp:nvSpPr>
      <dsp:spPr>
        <a:xfrm rot="21563640">
          <a:off x="1114962" y="3599179"/>
          <a:ext cx="199571" cy="253792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00" kern="1200"/>
        </a:p>
      </dsp:txBody>
      <dsp:txXfrm>
        <a:off x="1114964" y="3650254"/>
        <a:ext cx="139700" cy="152276"/>
      </dsp:txXfrm>
    </dsp:sp>
    <dsp:sp modelId="{84F6AA15-41BC-B44C-8CD7-C315EA0B89C9}">
      <dsp:nvSpPr>
        <dsp:cNvPr id="0" name=""/>
        <dsp:cNvSpPr/>
      </dsp:nvSpPr>
      <dsp:spPr>
        <a:xfrm>
          <a:off x="1397364" y="3514880"/>
          <a:ext cx="1019363" cy="611618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2672" tIns="42672" rIns="42672" bIns="22860" numCol="1" spcCol="1270" anchor="t" anchorCtr="0">
          <a:noAutofit/>
        </a:bodyPr>
        <a:lstStyle/>
        <a:p>
          <a:pPr marL="0" lvl="0" indent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600" kern="1200"/>
            <a:t>OPTIONAL</a:t>
          </a:r>
        </a:p>
        <a:p>
          <a:pPr marL="0" lvl="0" indent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600" kern="1200"/>
            <a:t>Lighting class calculator</a:t>
          </a:r>
        </a:p>
      </dsp:txBody>
      <dsp:txXfrm>
        <a:off x="1397364" y="3514880"/>
        <a:ext cx="1019363" cy="407745"/>
      </dsp:txXfrm>
    </dsp:sp>
    <dsp:sp modelId="{95F7C1D1-3B82-C045-ADA9-AAACFDC53B00}">
      <dsp:nvSpPr>
        <dsp:cNvPr id="0" name=""/>
        <dsp:cNvSpPr/>
      </dsp:nvSpPr>
      <dsp:spPr>
        <a:xfrm>
          <a:off x="1669727" y="3937389"/>
          <a:ext cx="1019363" cy="843412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2672" tIns="42672" rIns="42672" bIns="42672" numCol="1" spcCol="1270" anchor="t" anchorCtr="0">
          <a:noAutofit/>
        </a:bodyPr>
        <a:lstStyle/>
        <a:p>
          <a:pPr marL="57150" lvl="1" indent="-57150" algn="l" defTabSz="2667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GB" sz="600" kern="1200"/>
            <a:t>Optional to use for double check  lighting class defined in energy audit (input required parametars into yellow highlited cells)</a:t>
          </a:r>
        </a:p>
      </dsp:txBody>
      <dsp:txXfrm>
        <a:off x="1694430" y="3962092"/>
        <a:ext cx="969957" cy="794006"/>
      </dsp:txXfrm>
    </dsp:sp>
    <dsp:sp modelId="{01C50CF7-5E42-3149-BA15-775A161FD613}">
      <dsp:nvSpPr>
        <dsp:cNvPr id="0" name=""/>
        <dsp:cNvSpPr/>
      </dsp:nvSpPr>
      <dsp:spPr>
        <a:xfrm>
          <a:off x="2561720" y="3591856"/>
          <a:ext cx="307385" cy="253792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00" kern="1200"/>
        </a:p>
      </dsp:txBody>
      <dsp:txXfrm>
        <a:off x="2561720" y="3642614"/>
        <a:ext cx="231247" cy="152276"/>
      </dsp:txXfrm>
    </dsp:sp>
    <dsp:sp modelId="{7F110DB1-C50B-CC41-8B21-80A74E353208}">
      <dsp:nvSpPr>
        <dsp:cNvPr id="0" name=""/>
        <dsp:cNvSpPr/>
      </dsp:nvSpPr>
      <dsp:spPr>
        <a:xfrm>
          <a:off x="2996700" y="3514880"/>
          <a:ext cx="1019363" cy="611618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2672" tIns="42672" rIns="42672" bIns="22860" numCol="1" spcCol="1270" anchor="t" anchorCtr="0">
          <a:noAutofit/>
        </a:bodyPr>
        <a:lstStyle/>
        <a:p>
          <a:pPr marL="0" lvl="0" indent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600" kern="1200"/>
            <a:t>STEP 2</a:t>
          </a:r>
        </a:p>
        <a:p>
          <a:pPr marL="0" lvl="0" indent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600" kern="1200"/>
            <a:t>Characteristic profile of illuminated surface</a:t>
          </a:r>
        </a:p>
      </dsp:txBody>
      <dsp:txXfrm>
        <a:off x="2996700" y="3514880"/>
        <a:ext cx="1019363" cy="407745"/>
      </dsp:txXfrm>
    </dsp:sp>
    <dsp:sp modelId="{E5182C0D-41D2-D446-800D-B63426A91F9B}">
      <dsp:nvSpPr>
        <dsp:cNvPr id="0" name=""/>
        <dsp:cNvSpPr/>
      </dsp:nvSpPr>
      <dsp:spPr>
        <a:xfrm>
          <a:off x="3294496" y="3937389"/>
          <a:ext cx="1019363" cy="843412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2672" tIns="42672" rIns="42672" bIns="42672" numCol="1" spcCol="1270" anchor="t" anchorCtr="0">
          <a:noAutofit/>
        </a:bodyPr>
        <a:lstStyle/>
        <a:p>
          <a:pPr marL="57150" lvl="1" indent="-57150" algn="l" defTabSz="2667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GB" sz="600" kern="1200"/>
            <a:t>Input characteristic profile data defined in the energy audit into yellow highlited cells</a:t>
          </a:r>
        </a:p>
      </dsp:txBody>
      <dsp:txXfrm>
        <a:off x="3319199" y="3962092"/>
        <a:ext cx="969957" cy="794006"/>
      </dsp:txXfrm>
    </dsp:sp>
    <dsp:sp modelId="{0ABE906C-3C32-6B4A-931E-9312E933E689}">
      <dsp:nvSpPr>
        <dsp:cNvPr id="0" name=""/>
        <dsp:cNvSpPr/>
      </dsp:nvSpPr>
      <dsp:spPr>
        <a:xfrm>
          <a:off x="4146724" y="3591856"/>
          <a:ext cx="277001" cy="253792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00" kern="1200"/>
        </a:p>
      </dsp:txBody>
      <dsp:txXfrm>
        <a:off x="4146724" y="3642614"/>
        <a:ext cx="200863" cy="152276"/>
      </dsp:txXfrm>
    </dsp:sp>
    <dsp:sp modelId="{1F4CCE57-1EB0-1E4A-9CA1-7EEB79B13BB3}">
      <dsp:nvSpPr>
        <dsp:cNvPr id="0" name=""/>
        <dsp:cNvSpPr/>
      </dsp:nvSpPr>
      <dsp:spPr>
        <a:xfrm>
          <a:off x="4538707" y="3514880"/>
          <a:ext cx="1019363" cy="611618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2672" tIns="42672" rIns="42672" bIns="22860" numCol="1" spcCol="1270" anchor="t" anchorCtr="0">
          <a:noAutofit/>
        </a:bodyPr>
        <a:lstStyle/>
        <a:p>
          <a:pPr marL="0" lvl="0" indent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600" kern="1200"/>
            <a:t>STEP 3</a:t>
          </a:r>
        </a:p>
        <a:p>
          <a:pPr marL="0" lvl="0" indent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600" kern="1200"/>
            <a:t>Reference conditions</a:t>
          </a:r>
        </a:p>
      </dsp:txBody>
      <dsp:txXfrm>
        <a:off x="4538707" y="3514880"/>
        <a:ext cx="1019363" cy="407745"/>
      </dsp:txXfrm>
    </dsp:sp>
    <dsp:sp modelId="{02DD72F9-7939-9044-974F-225C97970775}">
      <dsp:nvSpPr>
        <dsp:cNvPr id="0" name=""/>
        <dsp:cNvSpPr/>
      </dsp:nvSpPr>
      <dsp:spPr>
        <a:xfrm>
          <a:off x="4904097" y="3938511"/>
          <a:ext cx="1019363" cy="843412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2672" tIns="42672" rIns="42672" bIns="42672" numCol="1" spcCol="1270" anchor="t" anchorCtr="0">
          <a:noAutofit/>
        </a:bodyPr>
        <a:lstStyle/>
        <a:p>
          <a:pPr marL="57150" lvl="1" indent="-57150" algn="l" defTabSz="2667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GB" sz="600" kern="1200"/>
            <a:t>Input data on lighting system usage into yellow highlited cells</a:t>
          </a:r>
        </a:p>
      </dsp:txBody>
      <dsp:txXfrm>
        <a:off x="4928800" y="3963214"/>
        <a:ext cx="969957" cy="794006"/>
      </dsp:txXfrm>
    </dsp:sp>
    <dsp:sp modelId="{AD08C3BF-3876-E24A-B23E-1EA467458372}">
      <dsp:nvSpPr>
        <dsp:cNvPr id="0" name=""/>
        <dsp:cNvSpPr/>
      </dsp:nvSpPr>
      <dsp:spPr>
        <a:xfrm rot="5390930">
          <a:off x="4332214" y="4503469"/>
          <a:ext cx="617307" cy="253792"/>
        </a:xfrm>
        <a:prstGeom prst="rightArrow">
          <a:avLst>
            <a:gd name="adj1" fmla="val 60000"/>
            <a:gd name="adj2" fmla="val 50000"/>
          </a:avLst>
        </a:prstGeom>
        <a:solidFill>
          <a:srgbClr val="4472C4">
            <a:tint val="60000"/>
            <a:hueOff val="0"/>
            <a:satOff val="0"/>
            <a:lumOff val="0"/>
            <a:alphaOff val="0"/>
          </a:srgb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00" kern="1200">
            <a:solidFill>
              <a:sysClr val="window" lastClr="FFFFFF"/>
            </a:solidFill>
            <a:latin typeface="Calibri" panose="020F0502020204030204"/>
            <a:ea typeface="+mn-ea"/>
            <a:cs typeface="+mn-cs"/>
          </a:endParaRPr>
        </a:p>
      </dsp:txBody>
      <dsp:txXfrm rot="10800000">
        <a:off x="4370183" y="4516158"/>
        <a:ext cx="541169" cy="152276"/>
      </dsp:txXfrm>
    </dsp:sp>
    <dsp:sp modelId="{83EAA73D-86F4-F84F-8C2C-3E9EE54ACE82}">
      <dsp:nvSpPr>
        <dsp:cNvPr id="0" name=""/>
        <dsp:cNvSpPr/>
      </dsp:nvSpPr>
      <dsp:spPr>
        <a:xfrm>
          <a:off x="4518621" y="5087260"/>
          <a:ext cx="1019363" cy="611618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2672" tIns="42672" rIns="42672" bIns="22860" numCol="1" spcCol="1270" anchor="t" anchorCtr="0">
          <a:noAutofit/>
        </a:bodyPr>
        <a:lstStyle/>
        <a:p>
          <a:pPr marL="0" lvl="0" indent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600" kern="1200"/>
            <a:t>STEP 4</a:t>
          </a:r>
        </a:p>
        <a:p>
          <a:pPr marL="0" lvl="0" indent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600" kern="1200"/>
            <a:t>Price per unit assumptions</a:t>
          </a:r>
        </a:p>
      </dsp:txBody>
      <dsp:txXfrm>
        <a:off x="4518621" y="5087260"/>
        <a:ext cx="1019363" cy="407745"/>
      </dsp:txXfrm>
    </dsp:sp>
    <dsp:sp modelId="{5A255C92-17C2-344B-87E8-6FA571FAAC18}">
      <dsp:nvSpPr>
        <dsp:cNvPr id="0" name=""/>
        <dsp:cNvSpPr/>
      </dsp:nvSpPr>
      <dsp:spPr>
        <a:xfrm>
          <a:off x="4842146" y="5628815"/>
          <a:ext cx="1019363" cy="607172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2672" tIns="42672" rIns="42672" bIns="42672" numCol="1" spcCol="1270" anchor="t" anchorCtr="0">
          <a:noAutofit/>
        </a:bodyPr>
        <a:lstStyle/>
        <a:p>
          <a:pPr marL="57150" lvl="1" indent="-57150" algn="l" defTabSz="2667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GB" sz="600" kern="1200"/>
            <a:t>Define electricity prices (EUR/kWh) and luminaire unit prices into yellow highlited cells</a:t>
          </a:r>
        </a:p>
      </dsp:txBody>
      <dsp:txXfrm>
        <a:off x="4859929" y="5646598"/>
        <a:ext cx="983797" cy="571606"/>
      </dsp:txXfrm>
    </dsp:sp>
    <dsp:sp modelId="{FA108E37-5838-0B41-B0A6-6CB2CB7E0D64}">
      <dsp:nvSpPr>
        <dsp:cNvPr id="0" name=""/>
        <dsp:cNvSpPr/>
      </dsp:nvSpPr>
      <dsp:spPr>
        <a:xfrm rot="10676061">
          <a:off x="4161219" y="5191129"/>
          <a:ext cx="242954" cy="253792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00" kern="1200"/>
        </a:p>
      </dsp:txBody>
      <dsp:txXfrm rot="10800000">
        <a:off x="4234081" y="5240573"/>
        <a:ext cx="170068" cy="152276"/>
      </dsp:txXfrm>
    </dsp:sp>
    <dsp:sp modelId="{1D79D4E7-E5D1-6C4C-919D-EEF6DCD87B5C}">
      <dsp:nvSpPr>
        <dsp:cNvPr id="0" name=""/>
        <dsp:cNvSpPr/>
      </dsp:nvSpPr>
      <dsp:spPr>
        <a:xfrm>
          <a:off x="3041151" y="5140550"/>
          <a:ext cx="1019363" cy="611618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2672" tIns="42672" rIns="42672" bIns="22860" numCol="1" spcCol="1270" anchor="t" anchorCtr="0">
          <a:noAutofit/>
        </a:bodyPr>
        <a:lstStyle/>
        <a:p>
          <a:pPr marL="0" lvl="0" indent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600" kern="1200"/>
            <a:t>STEP 5</a:t>
          </a:r>
        </a:p>
        <a:p>
          <a:pPr marL="0" lvl="0" indent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600" kern="1200"/>
            <a:t>Analytic tool</a:t>
          </a:r>
        </a:p>
      </dsp:txBody>
      <dsp:txXfrm>
        <a:off x="3041151" y="5140550"/>
        <a:ext cx="1019363" cy="407745"/>
      </dsp:txXfrm>
    </dsp:sp>
    <dsp:sp modelId="{2C2BDDD6-DD4E-074F-8DBA-89D0A526DD44}">
      <dsp:nvSpPr>
        <dsp:cNvPr id="0" name=""/>
        <dsp:cNvSpPr/>
      </dsp:nvSpPr>
      <dsp:spPr>
        <a:xfrm>
          <a:off x="3344849" y="5575552"/>
          <a:ext cx="1019363" cy="622075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2672" tIns="42672" rIns="42672" bIns="42672" numCol="1" spcCol="1270" anchor="t" anchorCtr="0">
          <a:noAutofit/>
        </a:bodyPr>
        <a:lstStyle/>
        <a:p>
          <a:pPr marL="57150" lvl="1" indent="-57150" algn="l" defTabSz="2667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GB" sz="600" kern="1200"/>
            <a:t>Calculations of investment, energy and costs savings</a:t>
          </a:r>
        </a:p>
      </dsp:txBody>
      <dsp:txXfrm>
        <a:off x="3363069" y="5593772"/>
        <a:ext cx="982923" cy="585635"/>
      </dsp:txXfrm>
    </dsp:sp>
    <dsp:sp modelId="{D1243174-7923-3949-B5AB-48652495890B}">
      <dsp:nvSpPr>
        <dsp:cNvPr id="0" name=""/>
        <dsp:cNvSpPr/>
      </dsp:nvSpPr>
      <dsp:spPr>
        <a:xfrm rot="10871479">
          <a:off x="2627091" y="5201242"/>
          <a:ext cx="281388" cy="253792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00" kern="1200"/>
        </a:p>
      </dsp:txBody>
      <dsp:txXfrm rot="10800000">
        <a:off x="2703221" y="5252791"/>
        <a:ext cx="205250" cy="152276"/>
      </dsp:txXfrm>
    </dsp:sp>
    <dsp:sp modelId="{21FFF71A-3E4F-8542-974F-0C2E160C0F5A}">
      <dsp:nvSpPr>
        <dsp:cNvPr id="0" name=""/>
        <dsp:cNvSpPr/>
      </dsp:nvSpPr>
      <dsp:spPr>
        <a:xfrm>
          <a:off x="1490980" y="5108313"/>
          <a:ext cx="1019363" cy="611618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2672" tIns="42672" rIns="42672" bIns="22860" numCol="1" spcCol="1270" anchor="t" anchorCtr="0">
          <a:noAutofit/>
        </a:bodyPr>
        <a:lstStyle/>
        <a:p>
          <a:pPr marL="0" lvl="0" indent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600" kern="1200"/>
            <a:t>RESULTS</a:t>
          </a:r>
        </a:p>
      </dsp:txBody>
      <dsp:txXfrm>
        <a:off x="1490980" y="5108313"/>
        <a:ext cx="1019363" cy="407745"/>
      </dsp:txXfrm>
    </dsp:sp>
    <dsp:sp modelId="{CB3C4ADC-C29D-3D45-90B9-FDFFD1E32E83}">
      <dsp:nvSpPr>
        <dsp:cNvPr id="0" name=""/>
        <dsp:cNvSpPr/>
      </dsp:nvSpPr>
      <dsp:spPr>
        <a:xfrm>
          <a:off x="1796452" y="5551803"/>
          <a:ext cx="1019363" cy="641077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2672" tIns="42672" rIns="42672" bIns="42672" numCol="1" spcCol="1270" anchor="t" anchorCtr="0">
          <a:noAutofit/>
        </a:bodyPr>
        <a:lstStyle/>
        <a:p>
          <a:pPr marL="57150" lvl="1" indent="-57150" algn="l" defTabSz="2667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GB" sz="600" kern="1200"/>
            <a:t>Define scope of the reconstruction</a:t>
          </a:r>
        </a:p>
        <a:p>
          <a:pPr marL="57150" lvl="1" indent="-57150" algn="l" defTabSz="2667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GB" sz="600" kern="1200"/>
            <a:t>Display of calculation results</a:t>
          </a:r>
        </a:p>
      </dsp:txBody>
      <dsp:txXfrm>
        <a:off x="1815229" y="5570580"/>
        <a:ext cx="981809" cy="603523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3">
  <dgm:title val=""/>
  <dgm:desc val=""/>
  <dgm:catLst>
    <dgm:cat type="process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3" destOrd="0"/>
        <dgm:cxn modelId="12" srcId="1" destId="11" srcOrd="0" destOrd="0"/>
        <dgm:cxn modelId="23" srcId="2" destId="21" srcOrd="0" destOrd="0"/>
        <dgm:cxn modelId="34" srcId="3" destId="31" srcOrd="0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  <dgm:pt modelId="3">
          <dgm:prSet phldr="1"/>
        </dgm:pt>
        <dgm:pt modelId="31">
          <dgm:prSet phldr="1"/>
        </dgm:pt>
        <dgm:pt modelId="4">
          <dgm:prSet phldr="1"/>
        </dgm:pt>
        <dgm:pt modelId="41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choose name="Name0">
      <dgm:if name="Name1" func="var" arg="dir" op="equ" val="norm">
        <dgm:alg type="lin"/>
      </dgm:if>
      <dgm:else name="Name2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omposite" refType="w"/>
      <dgm:constr type="w" for="ch" ptType="sibTrans" refType="w" refFor="ch" refForName="composite" fact="0.3333"/>
      <dgm:constr type="w" for="des" forName="parTx"/>
      <dgm:constr type="h" for="des" forName="parTx" op="equ"/>
      <dgm:constr type="h" for="des" forName="parSh" op="equ"/>
      <dgm:constr type="w" for="des" forName="desTx"/>
      <dgm:constr type="h" for="des" forName="desTx" op="equ"/>
      <dgm:constr type="w" for="des" forName="parSh"/>
      <dgm:constr type="primFontSz" for="des" forName="parTx" val="65"/>
      <dgm:constr type="secFontSz" for="des" forName="desTx" refType="primFontSz" refFor="des" refForName="parTx" op="equ"/>
      <dgm:constr type="primFontSz" for="des" forName="connTx" refType="primFontSz" refFor="des" refForName="parTx" fact="0.8"/>
      <dgm:constr type="primFontSz" for="des" forName="connTx" refType="primFontSz" refFor="des" refForName="parTx" op="lte" fact="0.8"/>
      <dgm:constr type="h" for="des" forName="parTx" refType="primFontSz" refFor="des" refForName="parTx" fact="0.8"/>
      <dgm:constr type="h" for="des" forName="parSh" refType="primFontSz" refFor="des" refForName="parTx" fact="1.2"/>
      <dgm:constr type="h" for="des" forName="desTx" refType="primFontSz" refFor="des" refForName="parTx" fact="1.6"/>
      <dgm:constr type="h" for="des" forName="parSh" refType="h" refFor="des" refForName="parTx" op="lte" fact="1.5"/>
      <dgm:constr type="h" for="des" forName="parSh" refType="h" refFor="des" refForName="parTx" op="gte" fact="1.5"/>
    </dgm:constrLst>
    <dgm:ruleLst>
      <dgm:rule type="w" for="ch" forName="composite" val="0" fact="NaN" max="NaN"/>
      <dgm:rule type="primFontSz" for="des" forName="parTx" val="5" fact="NaN" max="NaN"/>
    </dgm:ruleLst>
    <dgm:forEach name="Name3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4">
          <dgm:if name="Name5" func="var" arg="dir" op="equ" val="norm">
            <dgm:constrLst>
              <dgm:constr type="h" refType="w" fact="1000"/>
              <dgm:constr type="l" for="ch" forName="parTx"/>
              <dgm:constr type="w" for="ch" forName="parTx" refType="w" fact="0.83"/>
              <dgm:constr type="t" for="ch" forName="parTx"/>
              <dgm:constr type="l" for="ch" forName="parSh"/>
              <dgm:constr type="w" for="ch" forName="parSh" refType="w" refFor="ch" refForName="parTx"/>
              <dgm:constr type="t" for="ch" forName="parSh"/>
              <dgm:constr type="l" for="ch" forName="desTx" refType="w" fact="0.17"/>
              <dgm:constr type="w" for="ch" forName="desTx" refType="w" refFor="ch" refForName="parTx"/>
              <dgm:constr type="t" for="ch" forName="desTx" refType="h" refFor="ch" refForName="parTx"/>
            </dgm:constrLst>
          </dgm:if>
          <dgm:else name="Name6">
            <dgm:constrLst>
              <dgm:constr type="h" refType="w" fact="1000"/>
              <dgm:constr type="l" for="ch" forName="parTx" refType="w" fact="0.17"/>
              <dgm:constr type="w" for="ch" forName="parTx" refType="w" fact="0.83"/>
              <dgm:constr type="t" for="ch" forName="parTx"/>
              <dgm:constr type="l" for="ch" forName="parSh" refType="w" fact="0.15"/>
              <dgm:constr type="w" for="ch" forName="parSh" refType="w" refFor="ch" refForName="parTx"/>
              <dgm:constr type="t" for="ch" forName="parSh"/>
              <dgm:constr type="l" for="ch" forName="desTx"/>
              <dgm:constr type="w" for="ch" forName="desTx" refType="w" refFor="ch" refForName="parTx"/>
              <dgm:constr type="t" for="ch" forName="desTx" refType="h" refFor="ch" refForName="parTx"/>
            </dgm:constrLst>
          </dgm:else>
        </dgm:choose>
        <dgm:ruleLst>
          <dgm:rule type="h" val="INF" fact="NaN" max="NaN"/>
        </dgm:ruleLst>
        <dgm:layoutNode name="parTx">
          <dgm:varLst>
            <dgm:chMax val="0"/>
            <dgm:chPref val="0"/>
            <dgm:bulletEnabled val="1"/>
          </dgm:varLst>
          <dgm:alg type="tx">
            <dgm:param type="parTxLTRAlign" val="l"/>
            <dgm:param type="parTxRTLAlign" val="r"/>
            <dgm:param type="txAnchorVert" val="t"/>
          </dgm:alg>
          <dgm:shape xmlns:r="http://schemas.openxmlformats.org/officeDocument/2006/relationships" type="rect" r:blip="" zOrderOff="1" hideGeom="1">
            <dgm:adjLst>
              <dgm:adj idx="1" val="0.1"/>
            </dgm:adjLst>
          </dgm:shape>
          <dgm:presOf axis="self" ptType="node"/>
          <dgm:constrLst>
            <dgm:constr type="h" refType="w" op="lte" fact="0.4"/>
            <dgm:constr type="bMarg" refType="primFontSz" fact="0.3"/>
            <dgm:constr type="h"/>
          </dgm:constrLst>
          <dgm:ruleLst>
            <dgm:rule type="h" val="INF" fact="NaN" max="NaN"/>
          </dgm:ruleLst>
        </dgm:layoutNode>
        <dgm:layoutNode name="parSh">
          <dgm:alg type="sp"/>
          <dgm:shape xmlns:r="http://schemas.openxmlformats.org/officeDocument/2006/relationships" type="roundRect" r:blip="">
            <dgm:adjLst>
              <dgm:adj idx="1" val="0.1"/>
            </dgm:adjLst>
          </dgm:shape>
          <dgm:presOf axis="self" ptType="node"/>
          <dgm:constrLst>
            <dgm:constr type="h"/>
          </dgm:constrLst>
          <dgm:ruleLst/>
        </dgm:layoutNode>
        <dgm:layoutNode name="desTx" styleLbl="fgAcc1">
          <dgm:varLst>
            <dgm:bulletEnabled val="1"/>
          </dgm:varLst>
          <dgm:alg type="tx">
            <dgm:param type="stBulletLvl" val="1"/>
          </dgm:alg>
          <dgm:shape xmlns:r="http://schemas.openxmlformats.org/officeDocument/2006/relationships" type="roundRect" r:blip="">
            <dgm:adjLst>
              <dgm:adj idx="1" val="0.1"/>
            </dgm:adjLst>
          </dgm:shape>
          <dgm:presOf axis="des" ptType="node"/>
          <dgm:constrLst>
            <dgm:constr type="secFontSz" val="65"/>
            <dgm:constr type="primFontSz" refType="secFontSz"/>
            <dgm:constr type="h"/>
          </dgm:constrLst>
          <dgm:ruleLst>
            <dgm:rule type="h" val="INF" fact="NaN" max="NaN"/>
          </dgm:ruleLst>
        </dgm:layoutNode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  <dgm:param type="srcNode" val="parTx"/>
            <dgm:param type="dstNode" val="parTx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Tx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57614</xdr:rowOff>
    </xdr:from>
    <xdr:to>
      <xdr:col>12</xdr:col>
      <xdr:colOff>526585</xdr:colOff>
      <xdr:row>45</xdr:row>
      <xdr:rowOff>113061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6BBE18-46F8-994D-96D2-F793895784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266700</xdr:colOff>
      <xdr:row>0</xdr:row>
      <xdr:rowOff>139700</xdr:rowOff>
    </xdr:from>
    <xdr:to>
      <xdr:col>3</xdr:col>
      <xdr:colOff>0</xdr:colOff>
      <xdr:row>9</xdr:row>
      <xdr:rowOff>180975</xdr:rowOff>
    </xdr:to>
    <xdr:pic>
      <xdr:nvPicPr>
        <xdr:cNvPr id="3" name="Picture 2" descr="Logo, company name&#10;&#10;Description automatically generated">
          <a:extLst>
            <a:ext uri="{FF2B5EF4-FFF2-40B4-BE49-F238E27FC236}">
              <a16:creationId xmlns:a16="http://schemas.microsoft.com/office/drawing/2014/main" id="{B4678760-F706-DD6F-4EB1-A7EE96692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39700"/>
          <a:ext cx="2209800" cy="175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0F850F-4578-44A8-9524-68180F4EB90E}" name="Table1" displayName="Table1" ref="B2:V3" totalsRowShown="0">
  <autoFilter ref="B2:V3" xr:uid="{2F0F850F-4578-44A8-9524-68180F4EB90E}"/>
  <tableColumns count="21">
    <tableColumn id="1" xr3:uid="{8C131EB1-B9E3-425D-B24D-EC06ABDF0ED7}" name="Luminaire ID">
      <calculatedColumnFormula>Input_lamppost!B2</calculatedColumnFormula>
    </tableColumn>
    <tableColumn id="2" xr3:uid="{EB9434DD-EE94-464F-AE43-DF5D6DC71286}" name="Luminaire type"/>
    <tableColumn id="28" xr3:uid="{41B76E28-616B-46BC-BC40-7A795543F818}" name="Luminaire power (W)" dataDxfId="23">
      <calculatedColumnFormula>Input_lamppost!AE2</calculatedColumnFormula>
    </tableColumn>
    <tableColumn id="3" xr3:uid="{97C7354F-604C-6944-B949-078E580A9F46}" name="Number of luminaires" dataDxfId="22"/>
    <tableColumn id="20" xr3:uid="{5253CCFB-C455-F149-93F2-8F97A2DFA0FC}" name="Working hours (hours per year)" dataDxfId="21">
      <calculatedColumnFormula>VLOOKUP(Table1[[#This Row],[Luminaire type]],Input_reference_conditions!$H$52:$J$69,3,FALSE)</calculatedColumnFormula>
    </tableColumn>
    <tableColumn id="29" xr3:uid="{A37BAA92-348E-4789-B69D-8173244B4DAE}" name="Energy consumption (kWh per year)" dataDxfId="19" totalsRowDxfId="20">
      <calculatedColumnFormula>Table1[[#This Row],[Luminaire power (W)]]*Input_reference_conditions!$C$4/1000</calculatedColumnFormula>
    </tableColumn>
    <tableColumn id="30" xr3:uid="{5E35D085-3FFC-40CD-B1F8-42486669D51F}" name="Electricity costs (EUR per year, with VAT)" dataDxfId="18">
      <calculatedColumnFormula>Table1[[#This Row],[Energy consumption (kWh per year)]]*Input_price_assumptions!$B$8*(100%+Input_price_assumptions!$B$13)</calculatedColumnFormula>
    </tableColumn>
    <tableColumn id="31" xr3:uid="{FC2EF8DA-096D-4C94-8893-FF2C7948BEA0}" name="Proposed power of replacement luminaire (W)" dataDxfId="17">
      <calculatedColumnFormula>IFERROR(VLOOKUP(Table1[[#This Row],[Characteristic profile]],Input_reference_conditions!$A$52:$D$69,6,FALSE),Table1[[#This Row],[Luminaire power (W)]]*0.7)</calculatedColumnFormula>
    </tableColumn>
    <tableColumn id="37" xr3:uid="{61185D8D-B463-4814-ACE3-EDE127DDC839}" name="Unit cost per new luminaire (EUR with VAT)" dataDxfId="16">
      <calculatedColumnFormula>VLOOKUP(Table1[[#This Row],[Characteristic profile]],Input_reference_conditions!$A$52:$E$69,5,FALSE)*(100%+Input_price_assumptions!$B$14)</calculatedColumnFormula>
    </tableColumn>
    <tableColumn id="40" xr3:uid="{E91F5550-B1C8-45BA-8067-527544E996ED}" name="Costs of material (EUR with VAT)" dataDxfId="15">
      <calculatedColumnFormula>Table1[[#This Row],[Unit cost per new luminaire (EUR with VAT)]]*Table1[[#This Row],[Number of luminaires]]</calculatedColumnFormula>
    </tableColumn>
    <tableColumn id="25" xr3:uid="{1E522D9C-C122-4BE8-92C7-F8D20FEDB3C8}" name="Costs of work (EUR with VAT)" dataDxfId="14">
      <calculatedColumnFormula>Input_price_assumptions!$B$20</calculatedColumnFormula>
    </tableColumn>
    <tableColumn id="35" xr3:uid="{9EA0D73C-460B-4C83-8DB0-DD927A4C331B}" name="Overall investment (EUR with VAT)" dataDxfId="13">
      <calculatedColumnFormula>Table1[[#This Row],[Costs of material (EUR with VAT)]]+Table1[[#This Row],[Costs of work (EUR with VAT)]]</calculatedColumnFormula>
    </tableColumn>
    <tableColumn id="32" xr3:uid="{87A03ABE-8F43-4A69-8C6F-2D89B05B4BD1}" name="Overall luminaire power after replacement (W)" dataDxfId="12">
      <calculatedColumnFormula>Table1[[#This Row],[Proposed power of replacement luminaire (W)]]*Table1[[#This Row],[Number of luminaires]]</calculatedColumnFormula>
    </tableColumn>
    <tableColumn id="42" xr3:uid="{4007B9D1-7002-4FA7-8CDE-3A1B500B1803}" name="Working hours after replacement (hours per year)" dataDxfId="11">
      <calculatedColumnFormula>VLOOKUP(Table1[[#This Row],[Characteristic profile]],Input_reference_conditions!$A$52:$F$69,6,FALSE)</calculatedColumnFormula>
    </tableColumn>
    <tableColumn id="33" xr3:uid="{5D5E5A72-D609-454E-BBA6-08652F3C17A6}" name="Energy consumption after replacement (kWh per year)" dataDxfId="9" totalsRowDxfId="10">
      <calculatedColumnFormula>Table1[[#This Row],[Overall luminaire power after replacement (W)]]*Table1[[#This Row],[Working hours after replacement (hours per year)]]/1000</calculatedColumnFormula>
    </tableColumn>
    <tableColumn id="34" xr3:uid="{FED197DD-349B-411B-A511-A7E14989A6E9}" name="Energy costs after replacement (EUR per year, with VAT)" dataDxfId="8">
      <calculatedColumnFormula>Table1[[#This Row],[Energy consumption after replacement (kWh per year)]]*Input_price_assumptions!$B$8*(100%+Input_price_assumptions!$B$13)</calculatedColumnFormula>
    </tableColumn>
    <tableColumn id="36" xr3:uid="{09D926F6-97BA-4B68-9196-A9198B6316AA}" name="Costs savings (EUR per year)" dataDxfId="6" totalsRowDxfId="7">
      <calculatedColumnFormula>Table1[[#This Row],[Electricity costs (EUR per year, with VAT)]]-Table1[[#This Row],[Energy costs after replacement (EUR per year, with VAT)]]</calculatedColumnFormula>
    </tableColumn>
    <tableColumn id="24" xr3:uid="{44DA01BB-E38B-4906-9DEF-673F6FC10490}" name="Replacement priority" dataDxfId="4" totalsRowDxfId="5">
      <calculatedColumnFormula>VLOOKUP(Table1[[#This Row],[Characteristic profile]],Input_reference_conditions!$A$52:$F$69,9,FALSE)</calculatedColumnFormula>
    </tableColumn>
    <tableColumn id="22" xr3:uid="{377C4D72-48CB-354D-91D9-C97EABEF080F}" name="Note" dataDxfId="2" totalsRowDxfId="3">
      <calculatedColumnFormula>Input_lamppost!AF2</calculatedColumnFormula>
    </tableColumn>
    <tableColumn id="18" xr3:uid="{FBF1F056-CF38-439C-A6C7-34AA8521DC32}" name="Characteristic profile" dataDxfId="1">
      <calculatedColumnFormula>IF(ISBLANK(Input_lamppost!U2),Input_lamppost!AH2,Input_lamppost!U2)</calculatedColumnFormula>
    </tableColumn>
    <tableColumn id="19" xr3:uid="{8028D186-3F2C-4400-901E-78C4E3B95C3E}" name="Illuminated surface" dataDxfId="0">
      <calculatedColumnFormula>IF(ISBLANK(Input_lamppost!X2),Table1[[#This Row],[Characteristic profile]],Input_lamppost!X2)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57873-C850-DB46-ACF3-64E33F13BBCB}">
  <dimension ref="B12:B20"/>
  <sheetViews>
    <sheetView showGridLines="0" tabSelected="1" view="pageLayout" topLeftCell="A34" zoomScale="110" zoomScaleNormal="75" zoomScaleSheetLayoutView="90" zoomScalePageLayoutView="110" workbookViewId="0">
      <selection activeCell="E50" sqref="E50"/>
    </sheetView>
  </sheetViews>
  <sheetFormatPr defaultColWidth="11.42578125" defaultRowHeight="15"/>
  <sheetData>
    <row r="12" spans="2:2" ht="17.100000000000001">
      <c r="B12" s="69" t="s">
        <v>0</v>
      </c>
    </row>
    <row r="14" spans="2:2" ht="17.100000000000001">
      <c r="B14" s="69" t="s">
        <v>1</v>
      </c>
    </row>
    <row r="16" spans="2:2" ht="17.100000000000001">
      <c r="B16" s="69" t="s">
        <v>2</v>
      </c>
    </row>
    <row r="20" spans="2:2" ht="26.1">
      <c r="B20" s="106" t="s">
        <v>3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C1EA4-C92E-45C5-9BD5-E3280FC97FCD}">
  <dimension ref="A1:AO2"/>
  <sheetViews>
    <sheetView topLeftCell="C1" workbookViewId="0">
      <selection activeCell="AK2" sqref="AK2"/>
    </sheetView>
  </sheetViews>
  <sheetFormatPr defaultColWidth="8.85546875" defaultRowHeight="15"/>
  <cols>
    <col min="3" max="3" width="41.7109375" bestFit="1" customWidth="1"/>
    <col min="4" max="5" width="41.7109375" customWidth="1"/>
    <col min="6" max="6" width="12.85546875" customWidth="1"/>
    <col min="12" max="12" width="14.42578125" customWidth="1"/>
    <col min="15" max="15" width="11.7109375" customWidth="1"/>
    <col min="19" max="19" width="15.140625" customWidth="1"/>
    <col min="20" max="20" width="17.28515625" bestFit="1" customWidth="1"/>
    <col min="23" max="23" width="27.42578125" customWidth="1"/>
    <col min="30" max="30" width="13.140625" customWidth="1"/>
    <col min="31" max="31" width="12.85546875" bestFit="1" customWidth="1"/>
    <col min="32" max="32" width="56.42578125" bestFit="1" customWidth="1"/>
    <col min="34" max="34" width="20" customWidth="1"/>
    <col min="40" max="40" width="10.7109375" customWidth="1"/>
    <col min="41" max="41" width="10.42578125" customWidth="1"/>
  </cols>
  <sheetData>
    <row r="1" spans="1:41" ht="96">
      <c r="A1" s="10" t="s">
        <v>4</v>
      </c>
      <c r="B1" s="74" t="s">
        <v>5</v>
      </c>
      <c r="C1" s="74" t="s">
        <v>6</v>
      </c>
      <c r="D1" s="74" t="s">
        <v>7</v>
      </c>
      <c r="E1" s="74" t="s">
        <v>8</v>
      </c>
      <c r="F1" s="74" t="s">
        <v>9</v>
      </c>
      <c r="G1" s="74" t="s">
        <v>10</v>
      </c>
      <c r="H1" s="74" t="s">
        <v>11</v>
      </c>
      <c r="I1" s="74" t="s">
        <v>12</v>
      </c>
      <c r="J1" s="75" t="s">
        <v>13</v>
      </c>
      <c r="K1" s="75" t="s">
        <v>14</v>
      </c>
      <c r="L1" s="75" t="s">
        <v>15</v>
      </c>
      <c r="M1" s="75" t="s">
        <v>16</v>
      </c>
      <c r="N1" s="74" t="s">
        <v>17</v>
      </c>
      <c r="O1" s="74" t="s">
        <v>18</v>
      </c>
      <c r="P1" s="74" t="s">
        <v>19</v>
      </c>
      <c r="Q1" s="76" t="s">
        <v>20</v>
      </c>
      <c r="R1" s="74" t="s">
        <v>21</v>
      </c>
      <c r="S1" s="10" t="s">
        <v>22</v>
      </c>
      <c r="T1" s="74" t="s">
        <v>22</v>
      </c>
      <c r="U1" s="74" t="s">
        <v>23</v>
      </c>
      <c r="V1" s="74" t="s">
        <v>24</v>
      </c>
      <c r="W1" s="74" t="s">
        <v>25</v>
      </c>
      <c r="X1" s="74" t="s">
        <v>26</v>
      </c>
      <c r="Y1" s="74" t="s">
        <v>27</v>
      </c>
      <c r="Z1" s="74" t="s">
        <v>28</v>
      </c>
      <c r="AA1" s="74" t="s">
        <v>29</v>
      </c>
      <c r="AB1" s="74" t="s">
        <v>8</v>
      </c>
      <c r="AC1" s="74" t="s">
        <v>30</v>
      </c>
      <c r="AD1" s="74" t="s">
        <v>31</v>
      </c>
      <c r="AE1" s="74" t="s">
        <v>32</v>
      </c>
      <c r="AF1" s="74" t="s">
        <v>33</v>
      </c>
      <c r="AG1" s="74" t="s">
        <v>34</v>
      </c>
      <c r="AH1" s="74" t="s">
        <v>35</v>
      </c>
      <c r="AI1" s="74" t="s">
        <v>36</v>
      </c>
      <c r="AJ1" s="77" t="s">
        <v>37</v>
      </c>
      <c r="AK1" s="77" t="s">
        <v>38</v>
      </c>
      <c r="AL1" s="78" t="s">
        <v>39</v>
      </c>
      <c r="AM1" s="78" t="s">
        <v>40</v>
      </c>
      <c r="AN1" s="74" t="s">
        <v>41</v>
      </c>
      <c r="AO1" s="74" t="s">
        <v>42</v>
      </c>
    </row>
    <row r="2" spans="1:41">
      <c r="A2" s="79"/>
      <c r="B2" s="79">
        <v>1</v>
      </c>
      <c r="C2" s="79" t="s">
        <v>43</v>
      </c>
      <c r="D2" s="79" t="s">
        <v>44</v>
      </c>
      <c r="E2" s="79" t="s">
        <v>45</v>
      </c>
      <c r="F2" s="79">
        <v>1</v>
      </c>
      <c r="G2" s="79" t="s">
        <v>46</v>
      </c>
      <c r="H2" s="79" t="s">
        <v>47</v>
      </c>
      <c r="I2" s="79" t="s">
        <v>48</v>
      </c>
      <c r="J2" s="79" t="s">
        <v>49</v>
      </c>
      <c r="K2" s="79" t="s">
        <v>50</v>
      </c>
      <c r="L2" s="79"/>
      <c r="M2" s="79"/>
      <c r="N2" s="79" t="s">
        <v>51</v>
      </c>
      <c r="O2" s="79" t="s">
        <v>52</v>
      </c>
      <c r="P2" s="79">
        <v>0</v>
      </c>
      <c r="Q2" s="79"/>
      <c r="R2" s="79" t="s">
        <v>53</v>
      </c>
      <c r="S2" s="79"/>
      <c r="T2" s="79"/>
      <c r="U2" s="79" t="s">
        <v>54</v>
      </c>
      <c r="V2" s="79" t="s">
        <v>55</v>
      </c>
      <c r="W2" s="79" t="s">
        <v>56</v>
      </c>
      <c r="X2" s="79" t="s">
        <v>57</v>
      </c>
      <c r="Y2" s="79"/>
      <c r="Z2" s="79"/>
      <c r="AA2" s="79"/>
      <c r="AB2" s="79"/>
      <c r="AC2" s="79"/>
      <c r="AD2" s="79">
        <v>297.5</v>
      </c>
      <c r="AE2" s="79">
        <v>297.5</v>
      </c>
      <c r="AF2" s="79"/>
      <c r="AG2" s="79"/>
      <c r="AH2" s="79"/>
      <c r="AI2" s="79"/>
      <c r="AJ2" s="79"/>
      <c r="AK2" s="79"/>
      <c r="AL2" s="79"/>
      <c r="AM2" s="79"/>
      <c r="AN2" s="79"/>
      <c r="AO2" s="79"/>
    </row>
  </sheetData>
  <autoFilter ref="A1:AK9014" xr:uid="{E5AC1EA4-C92E-45C5-9BD5-E3280FC97FCD}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8D619-A9BA-164C-A77D-831FBDE84943}">
  <dimension ref="B1:N24"/>
  <sheetViews>
    <sheetView workbookViewId="0"/>
  </sheetViews>
  <sheetFormatPr defaultColWidth="8.85546875" defaultRowHeight="15"/>
  <cols>
    <col min="2" max="2" width="32.28515625" customWidth="1"/>
    <col min="3" max="3" width="22" customWidth="1"/>
    <col min="4" max="4" width="25.42578125" customWidth="1"/>
    <col min="5" max="5" width="14.42578125" hidden="1" customWidth="1"/>
    <col min="6" max="6" width="22" customWidth="1"/>
    <col min="7" max="7" width="25.42578125" customWidth="1"/>
    <col min="8" max="8" width="18.28515625" hidden="1" customWidth="1"/>
    <col min="9" max="9" width="22" customWidth="1"/>
    <col min="10" max="10" width="25.42578125" customWidth="1"/>
    <col min="11" max="11" width="14.42578125" hidden="1" customWidth="1"/>
    <col min="12" max="12" width="22" customWidth="1"/>
    <col min="13" max="13" width="25.42578125" customWidth="1"/>
    <col min="14" max="14" width="9.140625" hidden="1" customWidth="1"/>
  </cols>
  <sheetData>
    <row r="1" spans="2:14" ht="15.95" thickBot="1">
      <c r="B1" t="s">
        <v>58</v>
      </c>
    </row>
    <row r="2" spans="2:14" ht="15.95" thickBot="1">
      <c r="C2" s="8" t="s">
        <v>59</v>
      </c>
      <c r="D2" s="9" t="s">
        <v>60</v>
      </c>
      <c r="E2" s="10"/>
      <c r="F2" s="8" t="s">
        <v>61</v>
      </c>
      <c r="G2" s="9" t="s">
        <v>62</v>
      </c>
      <c r="H2" s="11"/>
      <c r="I2" s="8" t="s">
        <v>63</v>
      </c>
      <c r="J2" s="9" t="s">
        <v>64</v>
      </c>
      <c r="K2" s="11"/>
      <c r="L2" s="8" t="s">
        <v>65</v>
      </c>
      <c r="M2" s="9" t="s">
        <v>66</v>
      </c>
    </row>
    <row r="3" spans="2:14" ht="15.95" thickBot="1">
      <c r="B3" s="12" t="s">
        <v>67</v>
      </c>
      <c r="C3" s="83"/>
      <c r="D3" s="84"/>
      <c r="E3" s="13" t="s">
        <v>58</v>
      </c>
      <c r="F3" s="83"/>
      <c r="G3" s="84"/>
      <c r="H3" s="14" t="s">
        <v>58</v>
      </c>
      <c r="I3" s="83"/>
      <c r="J3" s="84"/>
      <c r="K3" s="85" t="s">
        <v>58</v>
      </c>
      <c r="L3" s="83"/>
      <c r="M3" s="84"/>
      <c r="N3" t="s">
        <v>58</v>
      </c>
    </row>
    <row r="4" spans="2:14" ht="15.95">
      <c r="B4" s="15" t="s">
        <v>68</v>
      </c>
      <c r="C4" s="82" t="s">
        <v>69</v>
      </c>
      <c r="D4" s="16" t="str">
        <f>IFERROR(IF(VLOOKUP(C4,base!$B$4:$C$40,2,FALSE)="","",VLOOKUP(C4,base!$B$4:$C$40,2,FALSE)),"")</f>
        <v>70 &lt; v &lt; 100 km/h</v>
      </c>
      <c r="E4">
        <f>VLOOKUP(C4,base!$B$4:$E$40,4,FALSE)</f>
        <v>1</v>
      </c>
      <c r="F4" s="82"/>
      <c r="G4" s="16" t="str">
        <f>IFERROR(IF(VLOOKUP(F4,base!$B$4:$C$40,2,FALSE)="","",VLOOKUP(F4,base!$B$4:$C$40,2,FALSE)),"")</f>
        <v/>
      </c>
      <c r="H4" s="17" t="e">
        <f>VLOOKUP(F4,base!$B$4:$E$40,4,FALSE)</f>
        <v>#N/A</v>
      </c>
      <c r="I4" s="82"/>
      <c r="J4" s="16" t="str">
        <f>IFERROR(IF(VLOOKUP(I4,base!$B$4:$C$40,2,FALSE)="","",VLOOKUP(I4,base!$B$4:$C$40,2,FALSE)),"")</f>
        <v/>
      </c>
      <c r="K4" s="17" t="e">
        <f>VLOOKUP(I4,base!$B$4:$E$40,4,FALSE)</f>
        <v>#N/A</v>
      </c>
      <c r="L4" s="82"/>
      <c r="M4" s="16" t="str">
        <f>IFERROR(IF(VLOOKUP(L4,base!$B$4:$C$40,2,FALSE)="","",VLOOKUP(L4,base!$B$4:$C$40,2,FALSE)),"")</f>
        <v/>
      </c>
      <c r="N4" t="e">
        <f>VLOOKUP(L4,base!$B$4:$E$40,4,FALSE)</f>
        <v>#N/A</v>
      </c>
    </row>
    <row r="5" spans="2:14" ht="15.95">
      <c r="B5" s="18" t="s">
        <v>70</v>
      </c>
      <c r="C5" s="80" t="s">
        <v>71</v>
      </c>
      <c r="D5" s="19" t="str">
        <f>IFERROR(IF(VLOOKUP(C5,base!$B$4:$C$40,2,FALSE)="","",VLOOKUP(C5,base!$B$4:$C$40,2,FALSE)),"")</f>
        <v>40 &lt; v ≤ 70 km/h</v>
      </c>
      <c r="E5">
        <f>VLOOKUP(C5,base!$B$4:$E$40,4,FALSE)</f>
        <v>-1</v>
      </c>
      <c r="F5" s="80"/>
      <c r="G5" s="20" t="str">
        <f>IFERROR(IF(VLOOKUP(F5,base!$B$4:$C$40,2,FALSE)="","",VLOOKUP(F5,base!$B$4:$C$40,2,FALSE)),"")</f>
        <v/>
      </c>
      <c r="H5" s="17" t="e">
        <f>VLOOKUP(F5,base!$B$4:$E$40,4,FALSE)</f>
        <v>#N/A</v>
      </c>
      <c r="I5" s="80"/>
      <c r="J5" s="20" t="str">
        <f>IFERROR(IF(VLOOKUP(I5,base!$B$4:$C$40,2,FALSE)="","",VLOOKUP(I5,base!$B$4:$C$40,2,FALSE)),"")</f>
        <v/>
      </c>
      <c r="K5" s="17" t="e">
        <f>VLOOKUP(I5,base!$B$4:$E$40,4,FALSE)</f>
        <v>#N/A</v>
      </c>
      <c r="L5" s="80"/>
      <c r="M5" s="20" t="str">
        <f>IFERROR(IF(VLOOKUP(L5,base!$B$4:$C$40,2,FALSE)="","",VLOOKUP(L5,base!$B$4:$C$40,2,FALSE)),"")</f>
        <v/>
      </c>
      <c r="N5" t="e">
        <f>VLOOKUP(L5,base!$B$4:$E$40,4,FALSE)</f>
        <v>#N/A</v>
      </c>
    </row>
    <row r="6" spans="2:14" ht="32.1">
      <c r="B6" s="18" t="s">
        <v>72</v>
      </c>
      <c r="C6" s="80" t="s">
        <v>73</v>
      </c>
      <c r="D6" s="20" t="str">
        <f>IFERROR(IF(VLOOKUP(C6,base!$B$4:$C$40,2,FALSE)="","",VLOOKUP(C6,base!$B$4:$C$40,2,FALSE)),"")</f>
        <v/>
      </c>
      <c r="E6">
        <f>VLOOKUP(C6,base!$B$4:$E$40,4,FALSE)</f>
        <v>2</v>
      </c>
      <c r="F6" s="80"/>
      <c r="G6" s="20" t="str">
        <f>IFERROR(IF(VLOOKUP(F6,base!$B$4:$C$40,2,FALSE)="","",VLOOKUP(F6,base!$B$4:$C$40,2,FALSE)),"")</f>
        <v/>
      </c>
      <c r="H6" s="17" t="e">
        <f>VLOOKUP(F6,base!$B$4:$E$40,4,FALSE)</f>
        <v>#N/A</v>
      </c>
      <c r="I6" s="80"/>
      <c r="J6" s="20" t="str">
        <f>IFERROR(IF(VLOOKUP(I6,base!$B$4:$C$40,2,FALSE)="","",VLOOKUP(I6,base!$B$4:$C$40,2,FALSE)),"")</f>
        <v/>
      </c>
      <c r="K6" s="17" t="e">
        <f>VLOOKUP(I6,base!$B$4:$E$40,4,FALSE)</f>
        <v>#N/A</v>
      </c>
      <c r="L6" s="80"/>
      <c r="M6" s="20" t="str">
        <f>IFERROR(IF(VLOOKUP(L6,base!$B$4:$C$40,2,FALSE)="","",VLOOKUP(L6,base!$B$4:$C$40,2,FALSE)),"")</f>
        <v/>
      </c>
      <c r="N6" t="e">
        <f>VLOOKUP(L6,base!$B$4:$E$40,4,FALSE)</f>
        <v>#N/A</v>
      </c>
    </row>
    <row r="7" spans="2:14" ht="15.95">
      <c r="B7" s="21" t="s">
        <v>74</v>
      </c>
      <c r="C7" s="80" t="s">
        <v>45</v>
      </c>
      <c r="D7" s="20" t="str">
        <f>IFERROR(IF(VLOOKUP(C7,base!$B$4:$C$40,2,FALSE)="","",VLOOKUP(C7,base!$B$4:$C$40,2,FALSE)),"")</f>
        <v/>
      </c>
      <c r="E7">
        <f>VLOOKUP(C7,base!$B$4:$E$40,4,FALSE)</f>
        <v>0</v>
      </c>
      <c r="F7" s="80"/>
      <c r="G7" s="20" t="str">
        <f>IFERROR(IF(VLOOKUP(F7,base!$B$4:$C$40,2,FALSE)="","",VLOOKUP(F7,base!$B$4:$C$40,2,FALSE)),"")</f>
        <v/>
      </c>
      <c r="H7" s="17" t="e">
        <f>VLOOKUP(F7,base!$B$4:$E$40,4,FALSE)</f>
        <v>#N/A</v>
      </c>
      <c r="I7" s="80"/>
      <c r="J7" s="20" t="str">
        <f>IFERROR(IF(VLOOKUP(I7,base!$B$4:$C$40,2,FALSE)="","",VLOOKUP(I7,base!$B$4:$C$40,2,FALSE)),"")</f>
        <v/>
      </c>
      <c r="K7" s="17" t="e">
        <f>VLOOKUP(I7,base!$B$4:$E$40,4,FALSE)</f>
        <v>#N/A</v>
      </c>
      <c r="L7" s="80"/>
      <c r="M7" s="20" t="str">
        <f>IFERROR(IF(VLOOKUP(L7,base!$B$4:$C$40,2,FALSE)="","",VLOOKUP(L7,base!$B$4:$C$40,2,FALSE)),"")</f>
        <v/>
      </c>
      <c r="N7" t="e">
        <f>VLOOKUP(L7,base!$B$4:$E$40,4,FALSE)</f>
        <v>#N/A</v>
      </c>
    </row>
    <row r="8" spans="2:14" ht="15.95">
      <c r="B8" s="21" t="s">
        <v>75</v>
      </c>
      <c r="C8" s="80" t="s">
        <v>69</v>
      </c>
      <c r="D8" s="20" t="str">
        <f>IFERROR(IF(VLOOKUP(C8,base!$B$4:$C$40,2,FALSE)="","",VLOOKUP(C8,base!$B$4:$C$40,2,FALSE)),"")</f>
        <v>70 &lt; v &lt; 100 km/h</v>
      </c>
      <c r="E8">
        <f>VLOOKUP(C8,base!$B$4:$E$40,4,FALSE)</f>
        <v>1</v>
      </c>
      <c r="F8" s="80"/>
      <c r="G8" s="20" t="str">
        <f>IFERROR(IF(VLOOKUP(F8,base!$B$4:$C$40,2,FALSE)="","",VLOOKUP(F8,base!$B$4:$C$40,2,FALSE)),"")</f>
        <v/>
      </c>
      <c r="H8" s="17" t="e">
        <f>VLOOKUP(F8,base!$B$4:$E$40,4,FALSE)</f>
        <v>#N/A</v>
      </c>
      <c r="I8" s="80"/>
      <c r="J8" s="20" t="str">
        <f>IFERROR(IF(VLOOKUP(I8,base!$B$4:$C$40,2,FALSE)="","",VLOOKUP(I8,base!$B$4:$C$40,2,FALSE)),"")</f>
        <v/>
      </c>
      <c r="K8" s="17" t="e">
        <f>VLOOKUP(I8,base!$B$4:$E$40,4,FALSE)</f>
        <v>#N/A</v>
      </c>
      <c r="L8" s="80"/>
      <c r="M8" s="20" t="str">
        <f>IFERROR(IF(VLOOKUP(L8,base!$B$4:$C$40,2,FALSE)="","",VLOOKUP(L8,base!$B$4:$C$40,2,FALSE)),"")</f>
        <v/>
      </c>
      <c r="N8" t="e">
        <f>VLOOKUP(L8,base!$B$4:$E$40,4,FALSE)</f>
        <v>#N/A</v>
      </c>
    </row>
    <row r="9" spans="2:14" ht="15.95">
      <c r="B9" s="18" t="s">
        <v>76</v>
      </c>
      <c r="C9" s="80" t="s">
        <v>45</v>
      </c>
      <c r="D9" s="19" t="str">
        <f>IFERROR(IF(VLOOKUP(C9,base!$B$4:$C$40,2,FALSE)="","",VLOOKUP(C9,base!$B$4:$C$40,2,FALSE)),"")</f>
        <v/>
      </c>
      <c r="E9">
        <f>VLOOKUP(C9,base!$B$4:$E$40,4,FALSE)</f>
        <v>0</v>
      </c>
      <c r="F9" s="80"/>
      <c r="G9" s="20" t="str">
        <f>IFERROR(IF(VLOOKUP(F9,base!$B$4:$C$40,2,FALSE)="","",VLOOKUP(F9,base!$B$4:$C$40,2,FALSE)),"")</f>
        <v/>
      </c>
      <c r="H9" s="17" t="e">
        <f>VLOOKUP(F9,base!$B$4:$E$40,4,FALSE)</f>
        <v>#N/A</v>
      </c>
      <c r="I9" s="80"/>
      <c r="J9" s="20" t="str">
        <f>IFERROR(IF(VLOOKUP(I9,base!$B$4:$C$40,2,FALSE)="","",VLOOKUP(I9,base!$B$4:$C$40,2,FALSE)),"")</f>
        <v/>
      </c>
      <c r="K9" s="17" t="e">
        <f>VLOOKUP(I9,base!$B$4:$E$40,4,FALSE)</f>
        <v>#N/A</v>
      </c>
      <c r="L9" s="80"/>
      <c r="M9" s="20" t="str">
        <f>IFERROR(IF(VLOOKUP(L9,base!$B$4:$C$40,2,FALSE)="","",VLOOKUP(L9,base!$B$4:$C$40,2,FALSE)),"")</f>
        <v/>
      </c>
      <c r="N9" t="e">
        <f>VLOOKUP(L9,base!$B$4:$E$40,4,FALSE)</f>
        <v>#N/A</v>
      </c>
    </row>
    <row r="10" spans="2:14" ht="15.95">
      <c r="B10" s="18" t="s">
        <v>77</v>
      </c>
      <c r="C10" s="80" t="s">
        <v>71</v>
      </c>
      <c r="D10" s="19" t="str">
        <f>IFERROR(IF(VLOOKUP(C10,base!$B$4:$C$40,2,FALSE)="","",VLOOKUP(C10,base!$B$4:$C$40,2,FALSE)),"")</f>
        <v>40 &lt; v ≤ 70 km/h</v>
      </c>
      <c r="E10">
        <f>VLOOKUP(C10,base!$B$4:$E$40,4,FALSE)</f>
        <v>-1</v>
      </c>
      <c r="F10" s="80"/>
      <c r="G10" s="20" t="str">
        <f>IFERROR(IF(VLOOKUP(F10,base!$B$4:$C$40,2,FALSE)="","",VLOOKUP(F10,base!$B$4:$C$40,2,FALSE)),"")</f>
        <v/>
      </c>
      <c r="H10" s="17" t="e">
        <f>VLOOKUP(F10,base!$B$4:$E$40,4,FALSE)</f>
        <v>#N/A</v>
      </c>
      <c r="I10" s="80"/>
      <c r="J10" s="20" t="str">
        <f>IFERROR(IF(VLOOKUP(I10,base!$B$4:$C$40,2,FALSE)="","",VLOOKUP(I10,base!$B$4:$C$40,2,FALSE)),"")</f>
        <v/>
      </c>
      <c r="K10" s="17" t="e">
        <f>VLOOKUP(I10,base!$B$4:$E$40,4,FALSE)</f>
        <v>#N/A</v>
      </c>
      <c r="L10" s="80"/>
      <c r="M10" s="20" t="str">
        <f>IFERROR(IF(VLOOKUP(L10,base!$B$4:$C$40,2,FALSE)="","",VLOOKUP(L10,base!$B$4:$C$40,2,FALSE)),"")</f>
        <v/>
      </c>
      <c r="N10" t="e">
        <f>VLOOKUP(L10,base!$B$4:$E$40,4,FALSE)</f>
        <v>#N/A</v>
      </c>
    </row>
    <row r="11" spans="2:14" ht="17.100000000000001" thickBot="1">
      <c r="B11" s="22" t="s">
        <v>78</v>
      </c>
      <c r="C11" s="81" t="s">
        <v>79</v>
      </c>
      <c r="D11" s="23" t="str">
        <f>IFERROR(IF(VLOOKUP(C11,base!$B$4:$C$40,2,FALSE)="","",VLOOKUP(C11,base!$B$4:$C$40,2,FALSE)),"")</f>
        <v/>
      </c>
      <c r="E11">
        <f>VLOOKUP(C11,base!$B$4:$E$40,4,FALSE)</f>
        <v>1</v>
      </c>
      <c r="F11" s="81"/>
      <c r="G11" s="23" t="str">
        <f>IFERROR(IF(VLOOKUP(F11,base!$B$4:$C$40,2,FALSE)="","",VLOOKUP(F11,base!$B$4:$C$40,2,FALSE)),"")</f>
        <v/>
      </c>
      <c r="H11" s="24" t="e">
        <f>VLOOKUP(F11,base!$B$4:$E$40,4,FALSE)</f>
        <v>#N/A</v>
      </c>
      <c r="I11" s="81"/>
      <c r="J11" s="23" t="str">
        <f>IFERROR(IF(VLOOKUP(I11,base!$B$4:$C$40,2,FALSE)="","",VLOOKUP(I11,base!$B$4:$C$40,2,FALSE)),"")</f>
        <v/>
      </c>
      <c r="K11" s="24" t="e">
        <f>VLOOKUP(I11,base!$B$4:$E$40,4,FALSE)</f>
        <v>#N/A</v>
      </c>
      <c r="L11" s="81"/>
      <c r="M11" s="23" t="str">
        <f>IFERROR(IF(VLOOKUP(L11,base!$B$4:$C$40,2,FALSE)="","",VLOOKUP(L11,base!$B$4:$C$40,2,FALSE)),"")</f>
        <v/>
      </c>
      <c r="N11" t="e">
        <f>VLOOKUP(L11,base!$B$4:$E$40,4,FALSE)</f>
        <v>#N/A</v>
      </c>
    </row>
    <row r="12" spans="2:14" ht="15.95" thickBot="1">
      <c r="B12" s="25" t="s">
        <v>26</v>
      </c>
      <c r="C12" s="107" t="str">
        <f>IFERROR(CONCATENATE(E3,E12),"")</f>
        <v>M3</v>
      </c>
      <c r="D12" s="108"/>
      <c r="E12" s="26">
        <f>IF((6-IF(SUM(E4:E11)&gt;5,5,SUM(E4:E11)))&gt;6,6,6-IF(SUM(E4:E11)&gt;5,5,SUM(E4:E11)))</f>
        <v>3</v>
      </c>
      <c r="F12" s="107" t="str">
        <f>IFERROR(CONCATENATE(H3,H12),"")</f>
        <v/>
      </c>
      <c r="G12" s="108"/>
      <c r="H12" s="26" t="e">
        <f>IF((6-IF(SUM(H4:H11)&gt;5,5,SUM(H4:H11)))&gt;6,6,6-IF(SUM(H4:H11)&gt;5,5,SUM(H4:H11)))</f>
        <v>#N/A</v>
      </c>
      <c r="I12" s="107" t="str">
        <f>IFERROR(CONCATENATE(K3,K12),"")</f>
        <v/>
      </c>
      <c r="J12" s="108"/>
      <c r="K12" s="26" t="e">
        <f>IF((6-IF(SUM(K4:K11)&gt;5,5,SUM(K4:K11)))&gt;6,6,6-IF(SUM(K4:K11)&gt;5,5,SUM(K4:K11)))</f>
        <v>#N/A</v>
      </c>
      <c r="L12" s="107" t="str">
        <f>IFERROR(CONCATENATE(N3,N12),"")</f>
        <v/>
      </c>
      <c r="M12" s="108"/>
      <c r="N12" s="26" t="e">
        <f>IF((6-IF(SUM(N4:N11)&gt;5,5,SUM(N4:N11)))&gt;6,6,6-IF(SUM(N4:N11)&gt;5,5,SUM(N4:N11)))</f>
        <v>#N/A</v>
      </c>
    </row>
    <row r="15" spans="2:14" ht="15.95" thickBot="1">
      <c r="B15" t="s">
        <v>80</v>
      </c>
    </row>
    <row r="16" spans="2:14" ht="15.95" thickBot="1">
      <c r="C16" s="8" t="s">
        <v>59</v>
      </c>
      <c r="D16" s="9" t="s">
        <v>60</v>
      </c>
      <c r="E16" s="10"/>
      <c r="F16" s="8" t="s">
        <v>61</v>
      </c>
      <c r="G16" s="9" t="s">
        <v>62</v>
      </c>
      <c r="H16" s="11"/>
      <c r="I16" s="8" t="s">
        <v>63</v>
      </c>
      <c r="J16" s="9" t="s">
        <v>64</v>
      </c>
      <c r="K16" s="11"/>
      <c r="L16" s="8" t="s">
        <v>65</v>
      </c>
      <c r="M16" s="9" t="s">
        <v>66</v>
      </c>
    </row>
    <row r="17" spans="2:14" ht="15.95" thickBot="1">
      <c r="B17" s="12" t="s">
        <v>81</v>
      </c>
      <c r="C17" s="83"/>
      <c r="D17" s="84"/>
      <c r="E17" s="86" t="s">
        <v>80</v>
      </c>
      <c r="F17" s="83"/>
      <c r="G17" s="84"/>
      <c r="H17" s="86" t="s">
        <v>80</v>
      </c>
      <c r="I17" s="83"/>
      <c r="J17" s="84"/>
      <c r="K17" s="86" t="s">
        <v>80</v>
      </c>
      <c r="L17" s="83"/>
      <c r="M17" s="84"/>
      <c r="N17" t="s">
        <v>80</v>
      </c>
    </row>
    <row r="18" spans="2:14" ht="15.95">
      <c r="B18" s="27" t="s">
        <v>82</v>
      </c>
      <c r="C18" s="82"/>
      <c r="D18" s="16" t="str">
        <f>IFERROR(IF(VLOOKUP(C18,base!$B$45:$C$72,2,FALSE)="","",VLOOKUP(C18,base!$B$45:$C$72,2,FALSE)),"")</f>
        <v/>
      </c>
      <c r="E18" t="e">
        <f>VLOOKUP(C18,base!$B$45:$E$72,4,FALSE)</f>
        <v>#N/A</v>
      </c>
      <c r="F18" s="82"/>
      <c r="G18" s="16" t="str">
        <f>IFERROR(IF(VLOOKUP(F18,base!$B$4:$C$40,2,FALSE)="","",VLOOKUP(F18,base!$B$4:$C$40,2,FALSE)),"")</f>
        <v/>
      </c>
      <c r="H18" t="e">
        <f>VLOOKUP(F18,base!$B$45:$E$72,4,FALSE)</f>
        <v>#N/A</v>
      </c>
      <c r="I18" s="82"/>
      <c r="J18" s="16" t="str">
        <f>IFERROR(IF(VLOOKUP(I18,base!$B$4:$C$40,2,FALSE)="","",VLOOKUP(I18,base!$B$4:$C$40,2,FALSE)),"")</f>
        <v/>
      </c>
      <c r="K18" t="e">
        <f>VLOOKUP(I18,base!$B$45:$E$72,4,FALSE)</f>
        <v>#N/A</v>
      </c>
      <c r="L18" s="82"/>
      <c r="M18" s="16" t="str">
        <f>IFERROR(IF(VLOOKUP(L18,base!$B$4:$C$40,2,FALSE)="","",VLOOKUP(L18,base!$B$4:$C$40,2,FALSE)),"")</f>
        <v/>
      </c>
      <c r="N18" t="e">
        <f>VLOOKUP(L18,base!$B$45:$E$72,4,FALSE)</f>
        <v>#N/A</v>
      </c>
    </row>
    <row r="19" spans="2:14" ht="15.95">
      <c r="B19" s="28" t="s">
        <v>83</v>
      </c>
      <c r="C19" s="80"/>
      <c r="D19" s="20" t="str">
        <f>IFERROR(IF(VLOOKUP(C19,base!$B$45:$C$72,2,FALSE)="","",VLOOKUP(C19,base!$B$45:$C$72,2,FALSE)),"")</f>
        <v/>
      </c>
      <c r="E19" t="e">
        <f>VLOOKUP(C19,base!$B$45:$E$72,4,FALSE)</f>
        <v>#N/A</v>
      </c>
      <c r="F19" s="80"/>
      <c r="G19" s="20" t="str">
        <f>IFERROR(IF(VLOOKUP(F19,base!$B$4:$C$40,2,FALSE)="","",VLOOKUP(F19,base!$B$4:$C$40,2,FALSE)),"")</f>
        <v/>
      </c>
      <c r="H19" t="e">
        <f>VLOOKUP(F19,base!$B$45:$E$72,4,FALSE)</f>
        <v>#N/A</v>
      </c>
      <c r="I19" s="80"/>
      <c r="J19" s="20" t="str">
        <f>IFERROR(IF(VLOOKUP(I19,base!$B$4:$C$40,2,FALSE)="","",VLOOKUP(I19,base!$B$4:$C$40,2,FALSE)),"")</f>
        <v/>
      </c>
      <c r="K19" t="e">
        <f>VLOOKUP(I19,base!$B$45:$E$72,4,FALSE)</f>
        <v>#N/A</v>
      </c>
      <c r="L19" s="80"/>
      <c r="M19" s="20" t="str">
        <f>IFERROR(IF(VLOOKUP(L19,base!$B$4:$C$40,2,FALSE)="","",VLOOKUP(L19,base!$B$4:$C$40,2,FALSE)),"")</f>
        <v/>
      </c>
      <c r="N19" t="e">
        <f>VLOOKUP(L19,base!$B$45:$E$72,4,FALSE)</f>
        <v>#N/A</v>
      </c>
    </row>
    <row r="20" spans="2:14" ht="15.95">
      <c r="B20" s="28" t="s">
        <v>72</v>
      </c>
      <c r="C20" s="80"/>
      <c r="D20" s="20" t="str">
        <f>IFERROR(IF(VLOOKUP(C20,base!$B$45:$C$72,2,FALSE)="","",VLOOKUP(C20,base!$B$45:$C$72,2,FALSE)),"")</f>
        <v/>
      </c>
      <c r="E20" t="e">
        <f>VLOOKUP(C20,base!$B$45:$E$72,4,FALSE)</f>
        <v>#N/A</v>
      </c>
      <c r="F20" s="80"/>
      <c r="G20" s="20" t="str">
        <f>IFERROR(IF(VLOOKUP(F20,base!$B$4:$C$40,2,FALSE)="","",VLOOKUP(F20,base!$B$4:$C$40,2,FALSE)),"")</f>
        <v/>
      </c>
      <c r="H20" t="e">
        <f>VLOOKUP(F20,base!$B$45:$E$72,4,FALSE)</f>
        <v>#N/A</v>
      </c>
      <c r="I20" s="80"/>
      <c r="J20" s="20" t="str">
        <f>IFERROR(IF(VLOOKUP(I20,base!$B$4:$C$40,2,FALSE)="","",VLOOKUP(I20,base!$B$4:$C$40,2,FALSE)),"")</f>
        <v/>
      </c>
      <c r="K20" t="e">
        <f>VLOOKUP(I20,base!$B$45:$E$72,4,FALSE)</f>
        <v>#N/A</v>
      </c>
      <c r="L20" s="80"/>
      <c r="M20" s="20" t="str">
        <f>IFERROR(IF(VLOOKUP(L20,base!$B$4:$C$40,2,FALSE)="","",VLOOKUP(L20,base!$B$4:$C$40,2,FALSE)),"")</f>
        <v/>
      </c>
      <c r="N20" t="e">
        <f>VLOOKUP(L20,base!$B$45:$E$72,4,FALSE)</f>
        <v>#N/A</v>
      </c>
    </row>
    <row r="21" spans="2:14" ht="15.95">
      <c r="B21" s="28" t="s">
        <v>76</v>
      </c>
      <c r="C21" s="80"/>
      <c r="D21" s="20" t="str">
        <f>IFERROR(IF(VLOOKUP(C21,base!$B$45:$C$72,2,FALSE)="","",VLOOKUP(C21,base!$B$45:$C$72,2,FALSE)),"")</f>
        <v/>
      </c>
      <c r="E21" t="e">
        <f>VLOOKUP(C21,base!$B$45:$E$72,4,FALSE)</f>
        <v>#N/A</v>
      </c>
      <c r="F21" s="80"/>
      <c r="G21" s="20" t="str">
        <f>IFERROR(IF(VLOOKUP(F21,base!$B$4:$C$40,2,FALSE)="","",VLOOKUP(F21,base!$B$4:$C$40,2,FALSE)),"")</f>
        <v/>
      </c>
      <c r="H21" t="e">
        <f>VLOOKUP(F21,base!$B$45:$E$72,4,FALSE)</f>
        <v>#N/A</v>
      </c>
      <c r="I21" s="80"/>
      <c r="J21" s="20" t="str">
        <f>IFERROR(IF(VLOOKUP(I21,base!$B$4:$C$40,2,FALSE)="","",VLOOKUP(I21,base!$B$4:$C$40,2,FALSE)),"")</f>
        <v/>
      </c>
      <c r="K21" t="e">
        <f>VLOOKUP(I21,base!$B$45:$E$72,4,FALSE)</f>
        <v>#N/A</v>
      </c>
      <c r="L21" s="80"/>
      <c r="M21" s="20" t="str">
        <f>IFERROR(IF(VLOOKUP(L21,base!$B$4:$C$40,2,FALSE)="","",VLOOKUP(L21,base!$B$4:$C$40,2,FALSE)),"")</f>
        <v/>
      </c>
      <c r="N21" t="e">
        <f>VLOOKUP(L21,base!$B$45:$E$72,4,FALSE)</f>
        <v>#N/A</v>
      </c>
    </row>
    <row r="22" spans="2:14" ht="15.95">
      <c r="B22" s="28" t="s">
        <v>77</v>
      </c>
      <c r="C22" s="80"/>
      <c r="D22" s="20" t="str">
        <f>IFERROR(IF(VLOOKUP(C22,base!$B$45:$C$72,2,FALSE)="","",VLOOKUP(C22,base!$B$45:$C$72,2,FALSE)),"")</f>
        <v/>
      </c>
      <c r="E22" t="e">
        <f>VLOOKUP(C22,base!$B$45:$E$72,4,FALSE)</f>
        <v>#N/A</v>
      </c>
      <c r="F22" s="80"/>
      <c r="G22" s="20" t="str">
        <f>IFERROR(IF(VLOOKUP(F22,base!$B$4:$C$40,2,FALSE)="","",VLOOKUP(F22,base!$B$4:$C$40,2,FALSE)),"")</f>
        <v/>
      </c>
      <c r="H22" t="e">
        <f>VLOOKUP(F22,base!$B$45:$E$72,4,FALSE)</f>
        <v>#N/A</v>
      </c>
      <c r="I22" s="80"/>
      <c r="J22" s="20" t="str">
        <f>IFERROR(IF(VLOOKUP(I22,base!$B$4:$C$40,2,FALSE)="","",VLOOKUP(I22,base!$B$4:$C$40,2,FALSE)),"")</f>
        <v/>
      </c>
      <c r="K22" t="e">
        <f>VLOOKUP(I22,base!$B$45:$E$72,4,FALSE)</f>
        <v>#N/A</v>
      </c>
      <c r="L22" s="80"/>
      <c r="M22" s="20" t="str">
        <f>IFERROR(IF(VLOOKUP(L22,base!$B$4:$C$40,2,FALSE)="","",VLOOKUP(L22,base!$B$4:$C$40,2,FALSE)),"")</f>
        <v/>
      </c>
      <c r="N22" t="e">
        <f>VLOOKUP(L22,base!$B$45:$E$72,4,FALSE)</f>
        <v>#N/A</v>
      </c>
    </row>
    <row r="23" spans="2:14" ht="17.100000000000001" thickBot="1">
      <c r="B23" s="28" t="s">
        <v>84</v>
      </c>
      <c r="C23" s="81"/>
      <c r="D23" s="23" t="str">
        <f>IFERROR(IF(VLOOKUP(C23,base!$B$45:$C$72,2,FALSE)="","",VLOOKUP(C23,base!$B$45:$C$72,2,FALSE)),"")</f>
        <v/>
      </c>
      <c r="E23" t="str">
        <f>IF(C23="DA","ES","")</f>
        <v/>
      </c>
      <c r="F23" s="80"/>
      <c r="G23" s="20" t="str">
        <f>IFERROR(IF(VLOOKUP(F23,base!$B$4:$C$40,2,FALSE)="","",VLOOKUP(F23,base!$B$4:$C$40,2,FALSE)),"")</f>
        <v/>
      </c>
      <c r="H23" t="str">
        <f>IF(F23="DA","ES","")</f>
        <v/>
      </c>
      <c r="I23" s="80"/>
      <c r="J23" s="20" t="str">
        <f>IFERROR(IF(VLOOKUP(I23,base!$B$4:$C$40,2,FALSE)="","",VLOOKUP(I23,base!$B$4:$C$40,2,FALSE)),"")</f>
        <v/>
      </c>
      <c r="K23" t="str">
        <f>IF(I23="DA","ES","")</f>
        <v/>
      </c>
      <c r="L23" s="80"/>
      <c r="M23" s="20" t="str">
        <f>IFERROR(IF(VLOOKUP(L23,base!$B$4:$C$40,2,FALSE)="","",VLOOKUP(L23,base!$B$4:$C$40,2,FALSE)),"")</f>
        <v/>
      </c>
      <c r="N23" t="str">
        <f>IF(L23="DA","ES","")</f>
        <v/>
      </c>
    </row>
    <row r="24" spans="2:14" ht="15.95" thickBot="1">
      <c r="C24" s="109" t="str">
        <f>IFERROR(CONCATENATE(IF(E23="",E17,E23),E24),"")</f>
        <v/>
      </c>
      <c r="D24" s="110"/>
      <c r="E24" s="26" t="e">
        <f>IF(6-IF(SUM(E18:E23)&gt;5,5,SUM(E18:E23))&gt;7,7,6-IF(SUM(E18:E23)&gt;5,5,SUM(E18:E23)))</f>
        <v>#N/A</v>
      </c>
      <c r="F24" s="109" t="str">
        <f>IFERROR(CONCATENATE(IF(H23="",H17,H23),H24),"")</f>
        <v/>
      </c>
      <c r="G24" s="110"/>
      <c r="H24" s="26" t="e">
        <f>IF(6-IF(SUM(H18:H23)&gt;5,5,SUM(H18:H23))&gt;7,7,6-IF(SUM(H18:H23)&gt;5,5,SUM(H18:H23)))</f>
        <v>#N/A</v>
      </c>
      <c r="I24" s="109" t="str">
        <f>IFERROR(CONCATENATE(IF(K23="",K17,K23),K24),"")</f>
        <v/>
      </c>
      <c r="J24" s="110"/>
      <c r="K24" s="26" t="e">
        <f>IF(6-IF(SUM(K18:K23)&gt;5,5,SUM(K18:K23))&gt;7,7,6-IF(SUM(K18:K23)&gt;5,5,SUM(K18:K23)))</f>
        <v>#N/A</v>
      </c>
      <c r="L24" s="109" t="str">
        <f>IFERROR(CONCATENATE(IF(N23="",N17,N23),N24),"")</f>
        <v/>
      </c>
      <c r="M24" s="110"/>
      <c r="N24" s="26" t="e">
        <f>IF(6-IF(SUM(N18:N23)&gt;5,5,SUM(N18:N23))&gt;7,7,6-IF(SUM(N18:N23)&gt;5,5,SUM(N18:N23)))</f>
        <v>#N/A</v>
      </c>
    </row>
  </sheetData>
  <mergeCells count="8">
    <mergeCell ref="C12:D12"/>
    <mergeCell ref="F12:G12"/>
    <mergeCell ref="I12:J12"/>
    <mergeCell ref="L12:M12"/>
    <mergeCell ref="C24:D24"/>
    <mergeCell ref="F24:G24"/>
    <mergeCell ref="I24:J24"/>
    <mergeCell ref="L24:M2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2379914-D296-D749-A0AA-A0340EC0171A}">
          <x14:formula1>
            <xm:f>base!$B$4:$B$7</xm:f>
          </x14:formula1>
          <xm:sqref>C4 F4 I4 L4 L18 F18 I18</xm:sqref>
        </x14:dataValidation>
        <x14:dataValidation type="list" allowBlank="1" showInputMessage="1" showErrorMessage="1" xr:uid="{C1936830-88E7-CD49-BC0D-75AE47C28E80}">
          <x14:formula1>
            <xm:f>base!$B$10:$B$12</xm:f>
          </x14:formula1>
          <xm:sqref>C5 F5 I5 L5 L19 F19 I19</xm:sqref>
        </x14:dataValidation>
        <x14:dataValidation type="list" allowBlank="1" showInputMessage="1" showErrorMessage="1" xr:uid="{7F14EF99-D5A1-E347-AEF2-BA53D9927AEB}">
          <x14:formula1>
            <xm:f>base!$B$24:$B$25</xm:f>
          </x14:formula1>
          <xm:sqref>C8 F8 I8 L8 L22 F22 I22</xm:sqref>
        </x14:dataValidation>
        <x14:dataValidation type="list" allowBlank="1" showInputMessage="1" showErrorMessage="1" xr:uid="{56676C86-2999-2E42-B035-006ADC528169}">
          <x14:formula1>
            <xm:f>base!$B$29:$B$30</xm:f>
          </x14:formula1>
          <xm:sqref>C9 F9 I9 L9 L23 F23 I23</xm:sqref>
        </x14:dataValidation>
        <x14:dataValidation type="list" allowBlank="1" showInputMessage="1" showErrorMessage="1" xr:uid="{37D76F88-11F3-0B49-9514-626B9EB47E2A}">
          <x14:formula1>
            <xm:f>base!$B$20:$B$21</xm:f>
          </x14:formula1>
          <xm:sqref>C7 F7 I7 L7 L21 F21 I21</xm:sqref>
        </x14:dataValidation>
        <x14:dataValidation type="list" allowBlank="1" showInputMessage="1" showErrorMessage="1" xr:uid="{BF297626-C526-C04C-88D7-BC4DEFA6FE52}">
          <x14:formula1>
            <xm:f>base!$B$33:$B$35</xm:f>
          </x14:formula1>
          <xm:sqref>C10 F10 I10 L10</xm:sqref>
        </x14:dataValidation>
        <x14:dataValidation type="list" allowBlank="1" showInputMessage="1" showErrorMessage="1" xr:uid="{A586A477-A1F8-C24B-B838-EB75E81D12CE}">
          <x14:formula1>
            <xm:f>base!$B$38:$B$40</xm:f>
          </x14:formula1>
          <xm:sqref>C11 F11 I11 L11</xm:sqref>
        </x14:dataValidation>
        <x14:dataValidation type="list" allowBlank="1" showInputMessage="1" showErrorMessage="1" xr:uid="{C63535A6-CDB3-B64E-BAE8-185F71A53731}">
          <x14:formula1>
            <xm:f>base!$B$15:$B$17</xm:f>
          </x14:formula1>
          <xm:sqref>C6 F6 I6 L6 L20 F20 I20</xm:sqref>
        </x14:dataValidation>
        <x14:dataValidation type="list" allowBlank="1" showInputMessage="1" showErrorMessage="1" xr:uid="{5A413960-37AE-1749-8B7A-78664DF65D77}">
          <x14:formula1>
            <xm:f>base!$B$46:$B$47</xm:f>
          </x14:formula1>
          <xm:sqref>C18</xm:sqref>
        </x14:dataValidation>
        <x14:dataValidation type="list" allowBlank="1" showInputMessage="1" showErrorMessage="1" xr:uid="{0098033E-5B92-C944-BE4B-9A0379E07345}">
          <x14:formula1>
            <xm:f>base!$B$50:$B$52</xm:f>
          </x14:formula1>
          <xm:sqref>C19</xm:sqref>
        </x14:dataValidation>
        <x14:dataValidation type="list" allowBlank="1" showInputMessage="1" showErrorMessage="1" xr:uid="{0B6C6B80-22D1-9F4E-851D-E5BCC15BE52F}">
          <x14:formula1>
            <xm:f>base!$B$55:$B$59</xm:f>
          </x14:formula1>
          <xm:sqref>C20</xm:sqref>
        </x14:dataValidation>
        <x14:dataValidation type="list" allowBlank="1" showInputMessage="1" showErrorMessage="1" xr:uid="{C543B5FD-E89B-4744-A4C3-106B42B24251}">
          <x14:formula1>
            <xm:f>base!$B$62:$B$63</xm:f>
          </x14:formula1>
          <xm:sqref>C21</xm:sqref>
        </x14:dataValidation>
        <x14:dataValidation type="list" allowBlank="1" showInputMessage="1" showErrorMessage="1" xr:uid="{CA716D13-E76C-0648-AEFB-544FB417AEDD}">
          <x14:formula1>
            <xm:f>base!$B$66:$B$68</xm:f>
          </x14:formula1>
          <xm:sqref>C22</xm:sqref>
        </x14:dataValidation>
        <x14:dataValidation type="list" allowBlank="1" showInputMessage="1" showErrorMessage="1" xr:uid="{C58E433E-A7A5-2F4F-9B6A-827A0134CCCB}">
          <x14:formula1>
            <xm:f>base!$B$71:$B$72</xm:f>
          </x14:formula1>
          <xm:sqref>C23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4C56C-ECF7-42DD-8316-1FB8524E41F7}">
  <dimension ref="A1:G9"/>
  <sheetViews>
    <sheetView workbookViewId="0">
      <selection activeCell="D36" sqref="D36"/>
    </sheetView>
  </sheetViews>
  <sheetFormatPr defaultColWidth="8.85546875" defaultRowHeight="15"/>
  <cols>
    <col min="3" max="3" width="11.140625" bestFit="1" customWidth="1"/>
    <col min="4" max="4" width="11.7109375" bestFit="1" customWidth="1"/>
    <col min="6" max="6" width="10.140625" bestFit="1" customWidth="1"/>
    <col min="7" max="7" width="20.85546875" bestFit="1" customWidth="1"/>
  </cols>
  <sheetData>
    <row r="1" spans="1:7">
      <c r="A1" s="31" t="s">
        <v>23</v>
      </c>
      <c r="B1" s="31" t="s">
        <v>26</v>
      </c>
      <c r="C1" s="31" t="s">
        <v>85</v>
      </c>
      <c r="D1" s="31" t="s">
        <v>86</v>
      </c>
      <c r="E1" s="31" t="s">
        <v>87</v>
      </c>
      <c r="F1" s="31" t="s">
        <v>88</v>
      </c>
      <c r="G1" s="31" t="s">
        <v>89</v>
      </c>
    </row>
    <row r="2" spans="1:7">
      <c r="A2" s="87" t="s">
        <v>54</v>
      </c>
      <c r="B2" s="87" t="s">
        <v>90</v>
      </c>
      <c r="C2" s="87">
        <v>18</v>
      </c>
      <c r="D2" s="87">
        <v>12</v>
      </c>
      <c r="E2" s="87">
        <v>30</v>
      </c>
      <c r="F2" s="87">
        <v>0</v>
      </c>
      <c r="G2" s="87" t="s">
        <v>91</v>
      </c>
    </row>
    <row r="3" spans="1:7">
      <c r="A3" s="87" t="s">
        <v>92</v>
      </c>
      <c r="B3" s="87" t="s">
        <v>90</v>
      </c>
      <c r="C3" s="87">
        <v>18</v>
      </c>
      <c r="D3" s="87">
        <v>12</v>
      </c>
      <c r="E3" s="87">
        <v>30</v>
      </c>
      <c r="F3" s="87">
        <v>0</v>
      </c>
      <c r="G3" s="87" t="s">
        <v>93</v>
      </c>
    </row>
    <row r="4" spans="1:7">
      <c r="A4" s="87" t="s">
        <v>94</v>
      </c>
      <c r="B4" s="87" t="s">
        <v>90</v>
      </c>
      <c r="C4" s="87">
        <v>7</v>
      </c>
      <c r="D4" s="87">
        <v>7.5</v>
      </c>
      <c r="E4" s="87">
        <v>35</v>
      </c>
      <c r="F4" s="87">
        <v>-1.8</v>
      </c>
      <c r="G4" s="87" t="s">
        <v>91</v>
      </c>
    </row>
    <row r="5" spans="1:7">
      <c r="A5" s="87" t="s">
        <v>95</v>
      </c>
      <c r="B5" s="87" t="s">
        <v>90</v>
      </c>
      <c r="C5" s="87">
        <v>12</v>
      </c>
      <c r="D5" s="87">
        <v>5</v>
      </c>
      <c r="E5" s="87">
        <v>25</v>
      </c>
      <c r="F5" s="87">
        <v>-1</v>
      </c>
      <c r="G5" s="87" t="s">
        <v>91</v>
      </c>
    </row>
    <row r="6" spans="1:7">
      <c r="A6" s="87" t="s">
        <v>96</v>
      </c>
      <c r="B6" s="87" t="s">
        <v>57</v>
      </c>
      <c r="C6" s="87">
        <v>10</v>
      </c>
      <c r="D6" s="87">
        <v>8.5</v>
      </c>
      <c r="E6" s="87">
        <v>33</v>
      </c>
      <c r="F6" s="87">
        <v>5</v>
      </c>
      <c r="G6" s="87" t="s">
        <v>97</v>
      </c>
    </row>
    <row r="7" spans="1:7">
      <c r="A7" s="87" t="s">
        <v>98</v>
      </c>
      <c r="B7" s="87" t="s">
        <v>57</v>
      </c>
      <c r="C7" s="87">
        <v>6</v>
      </c>
      <c r="D7" s="87">
        <v>8</v>
      </c>
      <c r="E7" s="87">
        <v>35</v>
      </c>
      <c r="F7" s="87">
        <v>-1.1000000000000001</v>
      </c>
      <c r="G7" s="87" t="s">
        <v>97</v>
      </c>
    </row>
    <row r="8" spans="1:7">
      <c r="A8" s="87" t="s">
        <v>99</v>
      </c>
      <c r="B8" s="87" t="s">
        <v>57</v>
      </c>
      <c r="C8" s="87">
        <v>8</v>
      </c>
      <c r="D8" s="87">
        <v>10</v>
      </c>
      <c r="E8" s="87">
        <v>30</v>
      </c>
      <c r="F8" s="87">
        <v>-1</v>
      </c>
      <c r="G8" s="87" t="s">
        <v>100</v>
      </c>
    </row>
    <row r="9" spans="1:7">
      <c r="A9" s="87" t="s">
        <v>101</v>
      </c>
      <c r="B9" s="87" t="s">
        <v>57</v>
      </c>
      <c r="C9" s="87">
        <v>6</v>
      </c>
      <c r="D9" s="87">
        <v>5</v>
      </c>
      <c r="E9" s="87">
        <v>20</v>
      </c>
      <c r="F9" s="87">
        <v>-1</v>
      </c>
      <c r="G9" s="87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BD0C2-B18E-8C43-96A3-C368E28B5A80}">
  <dimension ref="B2:E174"/>
  <sheetViews>
    <sheetView workbookViewId="0">
      <selection activeCell="E165" sqref="E165"/>
    </sheetView>
  </sheetViews>
  <sheetFormatPr defaultColWidth="8.85546875" defaultRowHeight="15"/>
  <cols>
    <col min="2" max="2" width="24.42578125" bestFit="1" customWidth="1"/>
    <col min="3" max="4" width="31.28515625" bestFit="1" customWidth="1"/>
    <col min="5" max="5" width="16" customWidth="1"/>
  </cols>
  <sheetData>
    <row r="2" spans="2:5">
      <c r="B2" s="29" t="s">
        <v>102</v>
      </c>
    </row>
    <row r="3" spans="2:5">
      <c r="B3" s="29" t="s">
        <v>103</v>
      </c>
    </row>
    <row r="4" spans="2:5">
      <c r="B4" s="30" t="s">
        <v>104</v>
      </c>
      <c r="C4" s="30" t="s">
        <v>105</v>
      </c>
      <c r="E4">
        <v>2</v>
      </c>
    </row>
    <row r="5" spans="2:5">
      <c r="B5" t="s">
        <v>69</v>
      </c>
      <c r="C5" t="s">
        <v>106</v>
      </c>
      <c r="E5">
        <v>1</v>
      </c>
    </row>
    <row r="6" spans="2:5">
      <c r="B6" t="s">
        <v>71</v>
      </c>
      <c r="C6" t="s">
        <v>107</v>
      </c>
      <c r="E6">
        <v>-1</v>
      </c>
    </row>
    <row r="7" spans="2:5">
      <c r="B7" t="s">
        <v>108</v>
      </c>
      <c r="C7" t="s">
        <v>109</v>
      </c>
      <c r="E7">
        <v>-2</v>
      </c>
    </row>
    <row r="9" spans="2:5">
      <c r="B9" s="29" t="s">
        <v>70</v>
      </c>
      <c r="C9" t="s">
        <v>110</v>
      </c>
      <c r="D9" t="s">
        <v>111</v>
      </c>
    </row>
    <row r="10" spans="2:5">
      <c r="B10" t="s">
        <v>69</v>
      </c>
      <c r="C10" t="s">
        <v>112</v>
      </c>
      <c r="D10" t="s">
        <v>113</v>
      </c>
      <c r="E10">
        <v>1</v>
      </c>
    </row>
    <row r="11" spans="2:5">
      <c r="B11" t="s">
        <v>71</v>
      </c>
      <c r="C11" t="s">
        <v>114</v>
      </c>
      <c r="D11" t="s">
        <v>115</v>
      </c>
      <c r="E11">
        <v>0</v>
      </c>
    </row>
    <row r="12" spans="2:5">
      <c r="B12" t="s">
        <v>108</v>
      </c>
      <c r="C12" t="s">
        <v>116</v>
      </c>
      <c r="D12" t="s">
        <v>117</v>
      </c>
      <c r="E12">
        <v>-1</v>
      </c>
    </row>
    <row r="14" spans="2:5">
      <c r="B14" s="29" t="s">
        <v>118</v>
      </c>
    </row>
    <row r="15" spans="2:5">
      <c r="B15" t="s">
        <v>73</v>
      </c>
      <c r="E15">
        <v>2</v>
      </c>
    </row>
    <row r="16" spans="2:5">
      <c r="B16" t="s">
        <v>119</v>
      </c>
      <c r="E16">
        <v>1</v>
      </c>
    </row>
    <row r="17" spans="2:5">
      <c r="B17" t="s">
        <v>120</v>
      </c>
      <c r="E17">
        <v>0</v>
      </c>
    </row>
    <row r="19" spans="2:5">
      <c r="B19" s="29" t="s">
        <v>121</v>
      </c>
    </row>
    <row r="20" spans="2:5">
      <c r="B20" t="s">
        <v>45</v>
      </c>
      <c r="E20">
        <v>0</v>
      </c>
    </row>
    <row r="21" spans="2:5">
      <c r="B21" t="s">
        <v>122</v>
      </c>
      <c r="E21">
        <v>1</v>
      </c>
    </row>
    <row r="23" spans="2:5">
      <c r="B23" s="29" t="s">
        <v>123</v>
      </c>
    </row>
    <row r="24" spans="2:5">
      <c r="B24" t="s">
        <v>69</v>
      </c>
      <c r="C24" t="s">
        <v>124</v>
      </c>
      <c r="E24">
        <v>1</v>
      </c>
    </row>
    <row r="25" spans="2:5">
      <c r="B25" t="s">
        <v>108</v>
      </c>
      <c r="C25" s="30" t="s">
        <v>125</v>
      </c>
      <c r="E25">
        <v>0</v>
      </c>
    </row>
    <row r="28" spans="2:5">
      <c r="B28" s="29" t="s">
        <v>76</v>
      </c>
    </row>
    <row r="29" spans="2:5">
      <c r="B29" t="s">
        <v>45</v>
      </c>
      <c r="E29">
        <v>1</v>
      </c>
    </row>
    <row r="30" spans="2:5">
      <c r="B30" t="s">
        <v>122</v>
      </c>
      <c r="E30">
        <v>0</v>
      </c>
    </row>
    <row r="32" spans="2:5">
      <c r="B32" s="29" t="s">
        <v>126</v>
      </c>
    </row>
    <row r="33" spans="2:5">
      <c r="B33" t="s">
        <v>127</v>
      </c>
      <c r="C33" t="s">
        <v>128</v>
      </c>
      <c r="E33">
        <v>1</v>
      </c>
    </row>
    <row r="34" spans="2:5">
      <c r="B34" t="s">
        <v>71</v>
      </c>
      <c r="C34" t="s">
        <v>129</v>
      </c>
      <c r="E34">
        <v>0</v>
      </c>
    </row>
    <row r="35" spans="2:5">
      <c r="B35" t="s">
        <v>108</v>
      </c>
      <c r="E35">
        <v>-1</v>
      </c>
    </row>
    <row r="37" spans="2:5">
      <c r="B37" s="29" t="s">
        <v>130</v>
      </c>
    </row>
    <row r="38" spans="2:5">
      <c r="B38" t="s">
        <v>131</v>
      </c>
      <c r="E38">
        <v>2</v>
      </c>
    </row>
    <row r="39" spans="2:5">
      <c r="B39" t="s">
        <v>79</v>
      </c>
      <c r="E39">
        <v>1</v>
      </c>
    </row>
    <row r="40" spans="2:5">
      <c r="B40" t="s">
        <v>132</v>
      </c>
      <c r="E40">
        <v>0</v>
      </c>
    </row>
    <row r="44" spans="2:5">
      <c r="B44" s="29" t="s">
        <v>133</v>
      </c>
    </row>
    <row r="45" spans="2:5">
      <c r="B45" s="29" t="s">
        <v>134</v>
      </c>
    </row>
    <row r="46" spans="2:5">
      <c r="B46" t="s">
        <v>135</v>
      </c>
      <c r="C46" t="s">
        <v>136</v>
      </c>
      <c r="E46">
        <v>1</v>
      </c>
    </row>
    <row r="47" spans="2:5">
      <c r="B47" t="s">
        <v>137</v>
      </c>
      <c r="C47" t="s">
        <v>138</v>
      </c>
      <c r="E47">
        <v>0</v>
      </c>
    </row>
    <row r="49" spans="2:5">
      <c r="B49" s="29" t="s">
        <v>139</v>
      </c>
    </row>
    <row r="50" spans="2:5">
      <c r="B50" t="s">
        <v>69</v>
      </c>
      <c r="E50">
        <v>1</v>
      </c>
    </row>
    <row r="51" spans="2:5">
      <c r="B51" t="s">
        <v>71</v>
      </c>
      <c r="E51">
        <v>0</v>
      </c>
    </row>
    <row r="52" spans="2:5">
      <c r="B52" t="s">
        <v>108</v>
      </c>
      <c r="E52">
        <v>-1</v>
      </c>
    </row>
    <row r="54" spans="2:5">
      <c r="B54" s="29" t="s">
        <v>140</v>
      </c>
    </row>
    <row r="55" spans="2:5">
      <c r="B55" t="s">
        <v>141</v>
      </c>
      <c r="E55">
        <v>2</v>
      </c>
    </row>
    <row r="56" spans="2:5">
      <c r="B56" t="s">
        <v>142</v>
      </c>
      <c r="E56">
        <v>1</v>
      </c>
    </row>
    <row r="57" spans="2:5">
      <c r="B57" t="s">
        <v>143</v>
      </c>
      <c r="E57">
        <v>1</v>
      </c>
    </row>
    <row r="58" spans="2:5">
      <c r="B58" t="s">
        <v>144</v>
      </c>
      <c r="E58">
        <v>0</v>
      </c>
    </row>
    <row r="59" spans="2:5">
      <c r="B59" t="s">
        <v>145</v>
      </c>
      <c r="E59">
        <v>0</v>
      </c>
    </row>
    <row r="61" spans="2:5">
      <c r="B61" s="29" t="s">
        <v>76</v>
      </c>
    </row>
    <row r="62" spans="2:5">
      <c r="B62" t="s">
        <v>45</v>
      </c>
      <c r="E62">
        <v>1</v>
      </c>
    </row>
    <row r="63" spans="2:5">
      <c r="B63" t="s">
        <v>122</v>
      </c>
      <c r="E63">
        <v>0</v>
      </c>
    </row>
    <row r="65" spans="2:5">
      <c r="B65" s="29" t="s">
        <v>126</v>
      </c>
    </row>
    <row r="66" spans="2:5">
      <c r="B66" t="s">
        <v>69</v>
      </c>
      <c r="C66" t="s">
        <v>128</v>
      </c>
      <c r="E66">
        <v>1</v>
      </c>
    </row>
    <row r="67" spans="2:5">
      <c r="B67" t="s">
        <v>71</v>
      </c>
      <c r="C67" t="s">
        <v>129</v>
      </c>
      <c r="E67">
        <v>0</v>
      </c>
    </row>
    <row r="68" spans="2:5">
      <c r="B68" t="s">
        <v>108</v>
      </c>
      <c r="E68">
        <v>-1</v>
      </c>
    </row>
    <row r="70" spans="2:5">
      <c r="B70" t="s">
        <v>146</v>
      </c>
    </row>
    <row r="71" spans="2:5">
      <c r="B71" t="s">
        <v>45</v>
      </c>
      <c r="C71" t="s">
        <v>147</v>
      </c>
    </row>
    <row r="72" spans="2:5">
      <c r="B72" t="s">
        <v>122</v>
      </c>
      <c r="C72" t="s">
        <v>148</v>
      </c>
    </row>
    <row r="76" spans="2:5" ht="15.95" thickBot="1"/>
    <row r="77" spans="2:5" ht="15.95" thickBot="1">
      <c r="B77" s="111" t="s">
        <v>26</v>
      </c>
      <c r="C77" s="113" t="s">
        <v>149</v>
      </c>
      <c r="D77" s="114"/>
      <c r="E77" s="115" t="s">
        <v>150</v>
      </c>
    </row>
    <row r="78" spans="2:5" ht="15.95" thickBot="1">
      <c r="B78" s="112"/>
      <c r="C78" s="52" t="s">
        <v>151</v>
      </c>
      <c r="D78" s="53" t="s">
        <v>152</v>
      </c>
      <c r="E78" s="116"/>
    </row>
    <row r="79" spans="2:5">
      <c r="B79" s="54" t="s">
        <v>55</v>
      </c>
      <c r="C79" s="55">
        <v>2</v>
      </c>
      <c r="D79" s="56">
        <v>5.99</v>
      </c>
      <c r="E79" s="57">
        <f>E87*1.5</f>
        <v>14643.599999999999</v>
      </c>
    </row>
    <row r="80" spans="2:5">
      <c r="B80" s="58"/>
      <c r="C80" s="59">
        <v>6</v>
      </c>
      <c r="D80" s="60">
        <v>7.99</v>
      </c>
      <c r="E80" s="61">
        <f t="shared" ref="E80:E86" si="0">E88*1.5</f>
        <v>14643.599999999999</v>
      </c>
    </row>
    <row r="81" spans="2:5">
      <c r="B81" s="58"/>
      <c r="C81" s="59">
        <v>8</v>
      </c>
      <c r="D81" s="62"/>
      <c r="E81" s="61">
        <f t="shared" si="0"/>
        <v>18480</v>
      </c>
    </row>
    <row r="82" spans="2:5">
      <c r="B82" s="58"/>
      <c r="C82" s="63">
        <v>9</v>
      </c>
      <c r="D82" s="64">
        <v>11.99</v>
      </c>
      <c r="E82" s="61">
        <f t="shared" si="0"/>
        <v>25705.199999999997</v>
      </c>
    </row>
    <row r="83" spans="2:5">
      <c r="B83" s="58"/>
      <c r="C83" s="63">
        <v>12</v>
      </c>
      <c r="D83" s="64">
        <v>15.99</v>
      </c>
      <c r="E83" s="61">
        <f t="shared" si="0"/>
        <v>25250.400000000001</v>
      </c>
    </row>
    <row r="84" spans="2:5">
      <c r="B84" s="58"/>
      <c r="C84" s="63">
        <v>16</v>
      </c>
      <c r="D84" s="64">
        <v>19.989999999999998</v>
      </c>
      <c r="E84" s="61">
        <f t="shared" si="0"/>
        <v>28569.600000000002</v>
      </c>
    </row>
    <row r="85" spans="2:5">
      <c r="B85" s="58"/>
      <c r="C85" s="63">
        <v>20</v>
      </c>
      <c r="D85" s="64">
        <v>24.99</v>
      </c>
      <c r="E85" s="61">
        <f t="shared" si="0"/>
        <v>36654</v>
      </c>
    </row>
    <row r="86" spans="2:5" ht="15.95" thickBot="1">
      <c r="B86" s="65"/>
      <c r="C86" s="63">
        <v>25</v>
      </c>
      <c r="D86" s="64">
        <v>34.99</v>
      </c>
      <c r="E86" s="66">
        <f t="shared" si="0"/>
        <v>39360</v>
      </c>
    </row>
    <row r="87" spans="2:5">
      <c r="B87" s="54" t="s">
        <v>153</v>
      </c>
      <c r="C87" s="55">
        <v>2</v>
      </c>
      <c r="D87" s="56">
        <v>5.99</v>
      </c>
      <c r="E87" s="67">
        <v>9762.4</v>
      </c>
    </row>
    <row r="88" spans="2:5">
      <c r="B88" s="58"/>
      <c r="C88" s="59">
        <v>6</v>
      </c>
      <c r="D88" s="60">
        <v>7.99</v>
      </c>
      <c r="E88" s="61">
        <v>9762.4</v>
      </c>
    </row>
    <row r="89" spans="2:5">
      <c r="B89" s="58"/>
      <c r="C89" s="59">
        <v>8</v>
      </c>
      <c r="D89" s="68"/>
      <c r="E89" s="61">
        <v>12320</v>
      </c>
    </row>
    <row r="90" spans="2:5">
      <c r="B90" s="58"/>
      <c r="C90" s="63">
        <v>9</v>
      </c>
      <c r="D90" s="64">
        <v>11.99</v>
      </c>
      <c r="E90" s="61">
        <v>17136.8</v>
      </c>
    </row>
    <row r="91" spans="2:5">
      <c r="B91" s="58"/>
      <c r="C91" s="63">
        <v>12</v>
      </c>
      <c r="D91" s="64">
        <v>15.99</v>
      </c>
      <c r="E91" s="61">
        <v>16833.600000000002</v>
      </c>
    </row>
    <row r="92" spans="2:5">
      <c r="B92" s="58"/>
      <c r="C92" s="63">
        <v>16</v>
      </c>
      <c r="D92" s="64">
        <v>19.989999999999998</v>
      </c>
      <c r="E92" s="61">
        <v>19046.400000000001</v>
      </c>
    </row>
    <row r="93" spans="2:5">
      <c r="B93" s="58"/>
      <c r="C93" s="63">
        <v>20</v>
      </c>
      <c r="D93" s="64">
        <v>24.99</v>
      </c>
      <c r="E93" s="61">
        <v>24436</v>
      </c>
    </row>
    <row r="94" spans="2:5" ht="15.95" thickBot="1">
      <c r="B94" s="65"/>
      <c r="C94" s="63">
        <v>25</v>
      </c>
      <c r="D94" s="64">
        <v>34.99</v>
      </c>
      <c r="E94" s="66">
        <v>26240</v>
      </c>
    </row>
    <row r="95" spans="2:5">
      <c r="B95" s="54" t="s">
        <v>90</v>
      </c>
      <c r="C95" s="55">
        <v>2</v>
      </c>
      <c r="D95" s="56">
        <v>5.99</v>
      </c>
      <c r="E95" s="57">
        <v>5944</v>
      </c>
    </row>
    <row r="96" spans="2:5">
      <c r="B96" s="58"/>
      <c r="C96" s="59">
        <v>6</v>
      </c>
      <c r="D96" s="60">
        <v>7.99</v>
      </c>
      <c r="E96" s="61">
        <v>6488</v>
      </c>
    </row>
    <row r="97" spans="2:5">
      <c r="B97" s="58"/>
      <c r="C97" s="59">
        <v>8</v>
      </c>
      <c r="D97" s="68"/>
      <c r="E97" s="61">
        <v>7896</v>
      </c>
    </row>
    <row r="98" spans="2:5">
      <c r="B98" s="58"/>
      <c r="C98" s="63">
        <v>9</v>
      </c>
      <c r="D98" s="64">
        <v>11.99</v>
      </c>
      <c r="E98" s="61">
        <v>9304</v>
      </c>
    </row>
    <row r="99" spans="2:5">
      <c r="B99" s="58"/>
      <c r="C99" s="63">
        <v>12</v>
      </c>
      <c r="D99" s="64">
        <v>15.99</v>
      </c>
      <c r="E99" s="61">
        <v>11336.800000000001</v>
      </c>
    </row>
    <row r="100" spans="2:5">
      <c r="B100" s="58"/>
      <c r="C100" s="63">
        <v>16</v>
      </c>
      <c r="D100" s="64">
        <v>19.989999999999998</v>
      </c>
      <c r="E100" s="61">
        <v>14480.800000000001</v>
      </c>
    </row>
    <row r="101" spans="2:5">
      <c r="B101" s="58"/>
      <c r="C101" s="63">
        <v>20</v>
      </c>
      <c r="D101" s="64">
        <v>24.99</v>
      </c>
      <c r="E101" s="61">
        <v>18853.600000000002</v>
      </c>
    </row>
    <row r="102" spans="2:5" ht="15.95" thickBot="1">
      <c r="B102" s="65"/>
      <c r="C102" s="63">
        <v>25</v>
      </c>
      <c r="D102" s="64">
        <v>34.99</v>
      </c>
      <c r="E102" s="66">
        <v>19016</v>
      </c>
    </row>
    <row r="103" spans="2:5">
      <c r="B103" s="54" t="s">
        <v>57</v>
      </c>
      <c r="C103" s="55">
        <v>2</v>
      </c>
      <c r="D103" s="56">
        <v>5.99</v>
      </c>
      <c r="E103" s="57">
        <v>4132.8</v>
      </c>
    </row>
    <row r="104" spans="2:5">
      <c r="B104" s="58"/>
      <c r="C104" s="59">
        <v>6</v>
      </c>
      <c r="D104" s="60">
        <v>7.99</v>
      </c>
      <c r="E104" s="61">
        <v>4680</v>
      </c>
    </row>
    <row r="105" spans="2:5">
      <c r="B105" s="58"/>
      <c r="C105" s="59">
        <v>8</v>
      </c>
      <c r="D105" s="68"/>
      <c r="E105" s="61">
        <v>5857.6</v>
      </c>
    </row>
    <row r="106" spans="2:5">
      <c r="B106" s="58"/>
      <c r="C106" s="63">
        <v>9</v>
      </c>
      <c r="D106" s="64">
        <v>11.99</v>
      </c>
      <c r="E106" s="61">
        <v>6693.6</v>
      </c>
    </row>
    <row r="107" spans="2:5">
      <c r="B107" s="58"/>
      <c r="C107" s="63">
        <v>12</v>
      </c>
      <c r="D107" s="64">
        <v>15.99</v>
      </c>
      <c r="E107" s="61">
        <v>6720</v>
      </c>
    </row>
    <row r="108" spans="2:5">
      <c r="B108" s="58"/>
      <c r="C108" s="63">
        <v>16</v>
      </c>
      <c r="D108" s="64">
        <v>19.989999999999998</v>
      </c>
      <c r="E108" s="61">
        <v>8720</v>
      </c>
    </row>
    <row r="109" spans="2:5">
      <c r="B109" s="58"/>
      <c r="C109" s="63">
        <v>20</v>
      </c>
      <c r="D109" s="64">
        <v>24.99</v>
      </c>
      <c r="E109" s="61">
        <v>11280</v>
      </c>
    </row>
    <row r="110" spans="2:5" ht="15.95" thickBot="1">
      <c r="B110" s="65"/>
      <c r="C110" s="63">
        <v>25</v>
      </c>
      <c r="D110" s="64">
        <v>34.99</v>
      </c>
      <c r="E110" s="66">
        <v>14720</v>
      </c>
    </row>
    <row r="111" spans="2:5">
      <c r="B111" s="54" t="s">
        <v>154</v>
      </c>
      <c r="C111" s="55">
        <v>2</v>
      </c>
      <c r="D111" s="56">
        <v>5.99</v>
      </c>
      <c r="E111" s="57">
        <v>2536</v>
      </c>
    </row>
    <row r="112" spans="2:5">
      <c r="B112" s="58"/>
      <c r="C112" s="59">
        <v>6</v>
      </c>
      <c r="D112" s="60">
        <v>7.99</v>
      </c>
      <c r="E112" s="61">
        <v>3176</v>
      </c>
    </row>
    <row r="113" spans="2:5">
      <c r="B113" s="58"/>
      <c r="C113" s="59">
        <v>8</v>
      </c>
      <c r="D113" s="68"/>
      <c r="E113" s="61">
        <v>3807.2000000000003</v>
      </c>
    </row>
    <row r="114" spans="2:5">
      <c r="B114" s="58"/>
      <c r="C114" s="63">
        <v>9</v>
      </c>
      <c r="D114" s="64">
        <v>11.99</v>
      </c>
      <c r="E114" s="61">
        <v>4444</v>
      </c>
    </row>
    <row r="115" spans="2:5">
      <c r="B115" s="58"/>
      <c r="C115" s="63">
        <v>12</v>
      </c>
      <c r="D115" s="64">
        <v>15.99</v>
      </c>
      <c r="E115" s="61">
        <v>5200</v>
      </c>
    </row>
    <row r="116" spans="2:5">
      <c r="B116" s="58"/>
      <c r="C116" s="63">
        <v>16</v>
      </c>
      <c r="D116" s="64">
        <v>19.989999999999998</v>
      </c>
      <c r="E116" s="61">
        <v>6720</v>
      </c>
    </row>
    <row r="117" spans="2:5">
      <c r="B117" s="58"/>
      <c r="C117" s="63">
        <v>20</v>
      </c>
      <c r="D117" s="64">
        <v>24.99</v>
      </c>
      <c r="E117" s="61">
        <v>8800</v>
      </c>
    </row>
    <row r="118" spans="2:5" ht="15.95" thickBot="1">
      <c r="B118" s="65"/>
      <c r="C118" s="63">
        <v>25</v>
      </c>
      <c r="D118" s="64">
        <v>34.99</v>
      </c>
      <c r="E118" s="66">
        <v>11440</v>
      </c>
    </row>
    <row r="119" spans="2:5">
      <c r="B119" s="54" t="s">
        <v>155</v>
      </c>
      <c r="C119" s="55">
        <v>2</v>
      </c>
      <c r="D119" s="56">
        <v>5.99</v>
      </c>
      <c r="E119" s="57">
        <v>1688</v>
      </c>
    </row>
    <row r="120" spans="2:5">
      <c r="B120" s="58"/>
      <c r="C120" s="59">
        <v>6</v>
      </c>
      <c r="D120" s="60">
        <v>7.99</v>
      </c>
      <c r="E120" s="61">
        <v>1888</v>
      </c>
    </row>
    <row r="121" spans="2:5">
      <c r="B121" s="58"/>
      <c r="C121" s="59">
        <v>8</v>
      </c>
      <c r="D121" s="68"/>
      <c r="E121" s="61">
        <v>2285.6</v>
      </c>
    </row>
    <row r="122" spans="2:5">
      <c r="B122" s="58"/>
      <c r="C122" s="63">
        <v>9</v>
      </c>
      <c r="D122" s="64">
        <v>11.99</v>
      </c>
      <c r="E122" s="61">
        <v>2666.4</v>
      </c>
    </row>
    <row r="123" spans="2:5">
      <c r="B123" s="58"/>
      <c r="C123" s="63">
        <v>12</v>
      </c>
      <c r="D123" s="64">
        <v>15.99</v>
      </c>
      <c r="E123" s="61">
        <v>4080</v>
      </c>
    </row>
    <row r="124" spans="2:5">
      <c r="B124" s="58"/>
      <c r="C124" s="63">
        <v>16</v>
      </c>
      <c r="D124" s="64">
        <v>19.989999999999998</v>
      </c>
      <c r="E124" s="61">
        <v>5280</v>
      </c>
    </row>
    <row r="125" spans="2:5">
      <c r="B125" s="58"/>
      <c r="C125" s="63">
        <v>20</v>
      </c>
      <c r="D125" s="64">
        <v>24.99</v>
      </c>
      <c r="E125" s="61">
        <v>6880</v>
      </c>
    </row>
    <row r="126" spans="2:5" ht="15.95" thickBot="1">
      <c r="B126" s="65"/>
      <c r="C126" s="63">
        <v>25</v>
      </c>
      <c r="D126" s="64">
        <v>34.99</v>
      </c>
      <c r="E126" s="66">
        <v>8880</v>
      </c>
    </row>
    <row r="127" spans="2:5">
      <c r="B127" s="54" t="s">
        <v>156</v>
      </c>
      <c r="C127" s="55">
        <v>2</v>
      </c>
      <c r="D127" s="56">
        <v>5.99</v>
      </c>
      <c r="E127" s="57">
        <v>4200</v>
      </c>
    </row>
    <row r="128" spans="2:5">
      <c r="B128" s="58"/>
      <c r="C128" s="59">
        <v>6</v>
      </c>
      <c r="D128" s="60">
        <v>7.99</v>
      </c>
      <c r="E128" s="61">
        <v>5900</v>
      </c>
    </row>
    <row r="129" spans="2:5">
      <c r="B129" s="58"/>
      <c r="C129" s="59">
        <v>8</v>
      </c>
      <c r="D129" s="68"/>
      <c r="E129" s="61">
        <v>8800</v>
      </c>
    </row>
    <row r="130" spans="2:5">
      <c r="B130" s="58"/>
      <c r="C130" s="63">
        <v>9</v>
      </c>
      <c r="D130" s="64">
        <v>11.99</v>
      </c>
      <c r="E130" s="61">
        <v>9300</v>
      </c>
    </row>
    <row r="131" spans="2:5">
      <c r="B131" s="58"/>
      <c r="C131" s="63">
        <v>12</v>
      </c>
      <c r="D131" s="64">
        <v>15.99</v>
      </c>
      <c r="E131" s="61">
        <v>11100</v>
      </c>
    </row>
    <row r="132" spans="2:5">
      <c r="B132" s="58"/>
      <c r="C132" s="63">
        <v>16</v>
      </c>
      <c r="D132" s="64">
        <v>19.989999999999998</v>
      </c>
      <c r="E132" s="61">
        <v>14400</v>
      </c>
    </row>
    <row r="133" spans="2:5">
      <c r="B133" s="58"/>
      <c r="C133" s="63">
        <v>20</v>
      </c>
      <c r="D133" s="64">
        <v>24.99</v>
      </c>
      <c r="E133" s="61">
        <v>18700</v>
      </c>
    </row>
    <row r="134" spans="2:5" ht="15.95" thickBot="1">
      <c r="B134" s="65"/>
      <c r="C134" s="63">
        <v>25</v>
      </c>
      <c r="D134" s="64">
        <v>34.99</v>
      </c>
      <c r="E134" s="66">
        <v>24300</v>
      </c>
    </row>
    <row r="135" spans="2:5">
      <c r="B135" s="54" t="s">
        <v>157</v>
      </c>
      <c r="C135" s="55">
        <v>2</v>
      </c>
      <c r="D135" s="56">
        <v>5.99</v>
      </c>
      <c r="E135" s="57">
        <v>3600</v>
      </c>
    </row>
    <row r="136" spans="2:5">
      <c r="B136" s="58"/>
      <c r="C136" s="59">
        <v>6</v>
      </c>
      <c r="D136" s="60">
        <v>7.99</v>
      </c>
      <c r="E136" s="61">
        <v>4700</v>
      </c>
    </row>
    <row r="137" spans="2:5">
      <c r="B137" s="58"/>
      <c r="C137" s="59">
        <v>8</v>
      </c>
      <c r="D137" s="68"/>
      <c r="E137" s="61">
        <v>5300</v>
      </c>
    </row>
    <row r="138" spans="2:5">
      <c r="B138" s="58"/>
      <c r="C138" s="63">
        <v>9</v>
      </c>
      <c r="D138" s="64">
        <v>11.99</v>
      </c>
      <c r="E138" s="61">
        <v>6500</v>
      </c>
    </row>
    <row r="139" spans="2:5">
      <c r="B139" s="58"/>
      <c r="C139" s="63">
        <v>12</v>
      </c>
      <c r="D139" s="64">
        <v>15.99</v>
      </c>
      <c r="E139" s="61">
        <v>7700</v>
      </c>
    </row>
    <row r="140" spans="2:5">
      <c r="B140" s="58"/>
      <c r="C140" s="63">
        <v>16</v>
      </c>
      <c r="D140" s="64">
        <v>19.989999999999998</v>
      </c>
      <c r="E140" s="61">
        <v>10000</v>
      </c>
    </row>
    <row r="141" spans="2:5">
      <c r="B141" s="58"/>
      <c r="C141" s="63">
        <v>20</v>
      </c>
      <c r="D141" s="64">
        <v>24.99</v>
      </c>
      <c r="E141" s="61">
        <v>13000</v>
      </c>
    </row>
    <row r="142" spans="2:5" ht="15.95" thickBot="1">
      <c r="B142" s="65"/>
      <c r="C142" s="63">
        <v>25</v>
      </c>
      <c r="D142" s="64">
        <v>34.99</v>
      </c>
      <c r="E142" s="66">
        <v>16900</v>
      </c>
    </row>
    <row r="143" spans="2:5">
      <c r="B143" s="54" t="s">
        <v>158</v>
      </c>
      <c r="C143" s="55">
        <v>2</v>
      </c>
      <c r="D143" s="56">
        <v>5.99</v>
      </c>
      <c r="E143" s="57">
        <v>2200</v>
      </c>
    </row>
    <row r="144" spans="2:5">
      <c r="B144" s="58"/>
      <c r="C144" s="59">
        <v>6</v>
      </c>
      <c r="D144" s="60">
        <v>7.99</v>
      </c>
      <c r="E144" s="61">
        <v>4200</v>
      </c>
    </row>
    <row r="145" spans="2:5">
      <c r="B145" s="58"/>
      <c r="C145" s="59">
        <v>8</v>
      </c>
      <c r="D145" s="68"/>
      <c r="E145" s="61">
        <v>4450</v>
      </c>
    </row>
    <row r="146" spans="2:5">
      <c r="B146" s="58"/>
      <c r="C146" s="63">
        <v>9</v>
      </c>
      <c r="D146" s="64">
        <v>11.99</v>
      </c>
      <c r="E146" s="61">
        <v>5700</v>
      </c>
    </row>
    <row r="147" spans="2:5">
      <c r="B147" s="58"/>
      <c r="C147" s="63">
        <v>12</v>
      </c>
      <c r="D147" s="64">
        <v>15.99</v>
      </c>
      <c r="E147" s="61">
        <v>7450</v>
      </c>
    </row>
    <row r="148" spans="2:5">
      <c r="B148" s="58"/>
      <c r="C148" s="63">
        <v>16</v>
      </c>
      <c r="D148" s="64">
        <v>19.989999999999998</v>
      </c>
      <c r="E148" s="61">
        <v>8400</v>
      </c>
    </row>
    <row r="149" spans="2:5">
      <c r="B149" s="58"/>
      <c r="C149" s="63">
        <v>20</v>
      </c>
      <c r="D149" s="64">
        <v>24.99</v>
      </c>
      <c r="E149" s="61">
        <v>11000</v>
      </c>
    </row>
    <row r="150" spans="2:5" ht="15.95" thickBot="1">
      <c r="B150" s="65"/>
      <c r="C150" s="63">
        <v>25</v>
      </c>
      <c r="D150" s="64">
        <v>34.99</v>
      </c>
      <c r="E150" s="66">
        <v>14300</v>
      </c>
    </row>
    <row r="151" spans="2:5">
      <c r="B151" s="54" t="s">
        <v>159</v>
      </c>
      <c r="C151" s="55">
        <v>2</v>
      </c>
      <c r="D151" s="56">
        <v>5.99</v>
      </c>
      <c r="E151" s="57">
        <v>2000</v>
      </c>
    </row>
    <row r="152" spans="2:5">
      <c r="B152" s="58"/>
      <c r="C152" s="59">
        <v>6</v>
      </c>
      <c r="D152" s="60">
        <v>7.99</v>
      </c>
      <c r="E152" s="61">
        <v>2400</v>
      </c>
    </row>
    <row r="153" spans="2:5">
      <c r="B153" s="58"/>
      <c r="C153" s="59">
        <v>8</v>
      </c>
      <c r="D153" s="68"/>
      <c r="E153" s="61">
        <v>3600</v>
      </c>
    </row>
    <row r="154" spans="2:5">
      <c r="B154" s="58"/>
      <c r="C154" s="63">
        <v>9</v>
      </c>
      <c r="D154" s="64">
        <v>11.99</v>
      </c>
      <c r="E154" s="61">
        <v>3800</v>
      </c>
    </row>
    <row r="155" spans="2:5">
      <c r="B155" s="58"/>
      <c r="C155" s="63">
        <v>12</v>
      </c>
      <c r="D155" s="64">
        <v>15.99</v>
      </c>
      <c r="E155" s="61">
        <v>5000</v>
      </c>
    </row>
    <row r="156" spans="2:5">
      <c r="B156" s="58"/>
      <c r="C156" s="63">
        <v>16</v>
      </c>
      <c r="D156" s="64">
        <v>19.989999999999998</v>
      </c>
      <c r="E156" s="61">
        <v>6500</v>
      </c>
    </row>
    <row r="157" spans="2:5">
      <c r="B157" s="58"/>
      <c r="C157" s="63">
        <v>20</v>
      </c>
      <c r="D157" s="64">
        <v>24.99</v>
      </c>
      <c r="E157" s="61">
        <v>8400</v>
      </c>
    </row>
    <row r="158" spans="2:5" ht="15.95" thickBot="1">
      <c r="B158" s="65"/>
      <c r="C158" s="63">
        <v>25</v>
      </c>
      <c r="D158" s="64">
        <v>34.99</v>
      </c>
      <c r="E158" s="66">
        <v>10900</v>
      </c>
    </row>
    <row r="159" spans="2:5">
      <c r="B159" s="54" t="s">
        <v>160</v>
      </c>
      <c r="C159" s="55">
        <v>2</v>
      </c>
      <c r="D159" s="56">
        <v>5.99</v>
      </c>
      <c r="E159" s="57">
        <v>2000</v>
      </c>
    </row>
    <row r="160" spans="2:5">
      <c r="B160" s="58"/>
      <c r="C160" s="59">
        <v>6</v>
      </c>
      <c r="D160" s="60">
        <v>7.99</v>
      </c>
      <c r="E160" s="61">
        <v>1900</v>
      </c>
    </row>
    <row r="161" spans="2:5">
      <c r="B161" s="58"/>
      <c r="C161" s="59">
        <v>8</v>
      </c>
      <c r="D161" s="68"/>
      <c r="E161" s="61">
        <v>2500</v>
      </c>
    </row>
    <row r="162" spans="2:5">
      <c r="B162" s="58"/>
      <c r="C162" s="63">
        <v>9</v>
      </c>
      <c r="D162" s="64">
        <v>11.99</v>
      </c>
      <c r="E162" s="61">
        <v>3200</v>
      </c>
    </row>
    <row r="163" spans="2:5">
      <c r="B163" s="58"/>
      <c r="C163" s="63">
        <v>12</v>
      </c>
      <c r="D163" s="64">
        <v>15.99</v>
      </c>
      <c r="E163" s="61">
        <v>3400</v>
      </c>
    </row>
    <row r="164" spans="2:5">
      <c r="B164" s="58"/>
      <c r="C164" s="63">
        <v>16</v>
      </c>
      <c r="D164" s="64">
        <v>19.989999999999998</v>
      </c>
      <c r="E164" s="61">
        <v>4200</v>
      </c>
    </row>
    <row r="165" spans="2:5">
      <c r="B165" s="58"/>
      <c r="C165" s="63">
        <v>20</v>
      </c>
      <c r="D165" s="64">
        <v>24.99</v>
      </c>
      <c r="E165" s="61">
        <v>5500</v>
      </c>
    </row>
    <row r="166" spans="2:5" ht="15.95" thickBot="1">
      <c r="B166" s="65"/>
      <c r="C166" s="63">
        <v>25</v>
      </c>
      <c r="D166" s="64">
        <v>34.99</v>
      </c>
      <c r="E166" s="66">
        <v>7100</v>
      </c>
    </row>
    <row r="167" spans="2:5">
      <c r="B167" s="54" t="s">
        <v>161</v>
      </c>
      <c r="C167" s="55">
        <v>2</v>
      </c>
      <c r="D167" s="56">
        <v>5.99</v>
      </c>
      <c r="E167" s="57">
        <v>2000</v>
      </c>
    </row>
    <row r="168" spans="2:5">
      <c r="B168" s="58"/>
      <c r="C168" s="59">
        <v>6</v>
      </c>
      <c r="D168" s="60">
        <v>7.99</v>
      </c>
      <c r="E168" s="61">
        <v>1900</v>
      </c>
    </row>
    <row r="169" spans="2:5">
      <c r="B169" s="58"/>
      <c r="C169" s="59">
        <v>8</v>
      </c>
      <c r="D169" s="68"/>
      <c r="E169" s="61">
        <v>2500</v>
      </c>
    </row>
    <row r="170" spans="2:5">
      <c r="B170" s="58"/>
      <c r="C170" s="63">
        <v>9</v>
      </c>
      <c r="D170" s="64">
        <v>11.99</v>
      </c>
      <c r="E170" s="61">
        <v>3200</v>
      </c>
    </row>
    <row r="171" spans="2:5">
      <c r="B171" s="58"/>
      <c r="C171" s="63">
        <v>12</v>
      </c>
      <c r="D171" s="64">
        <v>15.99</v>
      </c>
      <c r="E171" s="61">
        <v>3600</v>
      </c>
    </row>
    <row r="172" spans="2:5">
      <c r="B172" s="58"/>
      <c r="C172" s="63">
        <v>16</v>
      </c>
      <c r="D172" s="64">
        <v>19.989999999999998</v>
      </c>
      <c r="E172" s="61">
        <v>3800</v>
      </c>
    </row>
    <row r="173" spans="2:5">
      <c r="B173" s="58"/>
      <c r="C173" s="63">
        <v>20</v>
      </c>
      <c r="D173" s="64">
        <v>24.99</v>
      </c>
      <c r="E173" s="61">
        <v>4700</v>
      </c>
    </row>
    <row r="174" spans="2:5" ht="15.95" thickBot="1">
      <c r="B174" s="65"/>
      <c r="C174" s="63">
        <v>25</v>
      </c>
      <c r="D174" s="64">
        <v>34.99</v>
      </c>
      <c r="E174" s="66">
        <v>6200</v>
      </c>
    </row>
  </sheetData>
  <mergeCells count="3">
    <mergeCell ref="B77:B78"/>
    <mergeCell ref="C77:D77"/>
    <mergeCell ref="E77:E7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EDC9B-A341-4C56-B315-D4C4AD49D81D}">
  <dimension ref="A2:Z69"/>
  <sheetViews>
    <sheetView topLeftCell="A2" workbookViewId="0">
      <selection activeCell="J59" sqref="J59"/>
    </sheetView>
  </sheetViews>
  <sheetFormatPr defaultColWidth="8.85546875" defaultRowHeight="15"/>
  <cols>
    <col min="2" max="2" width="14.7109375" customWidth="1"/>
    <col min="3" max="3" width="23.7109375" bestFit="1" customWidth="1"/>
    <col min="4" max="4" width="10.7109375" customWidth="1"/>
    <col min="8" max="8" width="24.140625" customWidth="1"/>
  </cols>
  <sheetData>
    <row r="2" spans="2:3" ht="15.95" thickBot="1"/>
    <row r="3" spans="2:3">
      <c r="B3" s="32"/>
      <c r="C3" s="73" t="s">
        <v>162</v>
      </c>
    </row>
    <row r="4" spans="2:3">
      <c r="B4" s="41" t="s">
        <v>163</v>
      </c>
      <c r="C4" s="88">
        <v>4100</v>
      </c>
    </row>
    <row r="5" spans="2:3">
      <c r="B5" s="41" t="s">
        <v>164</v>
      </c>
      <c r="C5" s="88">
        <f>365*24</f>
        <v>8760</v>
      </c>
    </row>
    <row r="6" spans="2:3" ht="15.95" thickBot="1">
      <c r="B6" s="42" t="s">
        <v>165</v>
      </c>
      <c r="C6" s="89">
        <v>1200</v>
      </c>
    </row>
    <row r="8" spans="2:3" ht="15.95" thickBot="1"/>
    <row r="9" spans="2:3">
      <c r="B9" s="32"/>
      <c r="C9" s="73" t="s">
        <v>166</v>
      </c>
    </row>
    <row r="10" spans="2:3">
      <c r="B10" s="37" t="s">
        <v>167</v>
      </c>
      <c r="C10" s="90">
        <v>3700</v>
      </c>
    </row>
    <row r="11" spans="2:3">
      <c r="B11" s="37" t="s">
        <v>168</v>
      </c>
      <c r="C11" s="90">
        <v>3700</v>
      </c>
    </row>
    <row r="12" spans="2:3">
      <c r="B12" s="37" t="s">
        <v>169</v>
      </c>
      <c r="C12" s="90">
        <v>3700</v>
      </c>
    </row>
    <row r="13" spans="2:3">
      <c r="B13" s="37" t="s">
        <v>170</v>
      </c>
      <c r="C13" s="90">
        <v>3700</v>
      </c>
    </row>
    <row r="14" spans="2:3">
      <c r="B14" s="37" t="s">
        <v>171</v>
      </c>
      <c r="C14" s="90">
        <v>3700</v>
      </c>
    </row>
    <row r="15" spans="2:3">
      <c r="B15" s="37" t="s">
        <v>172</v>
      </c>
      <c r="C15" s="90">
        <v>3700</v>
      </c>
    </row>
    <row r="16" spans="2:3">
      <c r="B16" s="37" t="s">
        <v>55</v>
      </c>
      <c r="C16" s="90">
        <v>3900</v>
      </c>
    </row>
    <row r="17" spans="2:3">
      <c r="B17" s="37" t="s">
        <v>153</v>
      </c>
      <c r="C17" s="90">
        <v>3900</v>
      </c>
    </row>
    <row r="18" spans="2:3">
      <c r="B18" s="37" t="s">
        <v>90</v>
      </c>
      <c r="C18" s="90">
        <v>3900</v>
      </c>
    </row>
    <row r="19" spans="2:3">
      <c r="B19" s="37" t="s">
        <v>57</v>
      </c>
      <c r="C19" s="90">
        <v>3400</v>
      </c>
    </row>
    <row r="20" spans="2:3">
      <c r="B20" s="37" t="s">
        <v>154</v>
      </c>
      <c r="C20" s="90">
        <v>2900</v>
      </c>
    </row>
    <row r="21" spans="2:3">
      <c r="B21" s="37" t="s">
        <v>155</v>
      </c>
      <c r="C21" s="90"/>
    </row>
    <row r="22" spans="2:3">
      <c r="B22" s="37" t="s">
        <v>156</v>
      </c>
      <c r="C22" s="90">
        <v>3900</v>
      </c>
    </row>
    <row r="23" spans="2:3">
      <c r="B23" s="37" t="s">
        <v>157</v>
      </c>
      <c r="C23" s="90">
        <v>3400</v>
      </c>
    </row>
    <row r="24" spans="2:3">
      <c r="B24" s="37" t="s">
        <v>158</v>
      </c>
      <c r="C24" s="90">
        <v>2900</v>
      </c>
    </row>
    <row r="25" spans="2:3">
      <c r="B25" s="37" t="s">
        <v>159</v>
      </c>
      <c r="C25" s="90">
        <v>2900</v>
      </c>
    </row>
    <row r="26" spans="2:3">
      <c r="B26" s="37" t="s">
        <v>160</v>
      </c>
      <c r="C26" s="90">
        <v>2900</v>
      </c>
    </row>
    <row r="27" spans="2:3">
      <c r="B27" s="41"/>
      <c r="C27" s="88"/>
    </row>
    <row r="28" spans="2:3">
      <c r="B28" s="37" t="s">
        <v>164</v>
      </c>
      <c r="C28" s="90">
        <v>5840</v>
      </c>
    </row>
    <row r="29" spans="2:3" ht="15.95" thickBot="1">
      <c r="B29" s="38" t="s">
        <v>165</v>
      </c>
      <c r="C29" s="91">
        <v>800</v>
      </c>
    </row>
    <row r="31" spans="2:3" ht="15.95" thickBot="1"/>
    <row r="32" spans="2:3" ht="15.95" thickBot="1">
      <c r="B32" s="46" t="s">
        <v>173</v>
      </c>
      <c r="C32" s="92">
        <v>130</v>
      </c>
    </row>
    <row r="34" spans="2:7" ht="15.95" thickBot="1"/>
    <row r="35" spans="2:7">
      <c r="B35" s="72" t="s">
        <v>174</v>
      </c>
      <c r="C35" s="71"/>
      <c r="D35" s="71"/>
      <c r="E35" s="71"/>
      <c r="F35" s="71"/>
      <c r="G35" s="43"/>
    </row>
    <row r="36" spans="2:7">
      <c r="B36" s="37"/>
      <c r="C36" s="4"/>
      <c r="D36" s="4"/>
      <c r="E36" s="4"/>
      <c r="F36" s="4"/>
      <c r="G36" s="44"/>
    </row>
    <row r="37" spans="2:7">
      <c r="B37" s="37" t="s">
        <v>175</v>
      </c>
      <c r="C37" s="4">
        <v>4100</v>
      </c>
      <c r="D37" s="4"/>
      <c r="E37" s="4"/>
      <c r="F37" s="4"/>
      <c r="G37" s="44"/>
    </row>
    <row r="38" spans="2:7">
      <c r="B38" s="37"/>
      <c r="C38" s="4"/>
      <c r="D38" s="4"/>
      <c r="E38" s="4"/>
      <c r="F38" s="4"/>
      <c r="G38" s="44"/>
    </row>
    <row r="39" spans="2:7">
      <c r="B39" s="37" t="s">
        <v>176</v>
      </c>
      <c r="C39" s="70">
        <v>1</v>
      </c>
      <c r="D39" s="70">
        <v>0.75</v>
      </c>
      <c r="E39" s="70">
        <v>0.5</v>
      </c>
      <c r="F39" s="70">
        <v>0.25</v>
      </c>
      <c r="G39" s="44" t="s">
        <v>177</v>
      </c>
    </row>
    <row r="40" spans="2:7">
      <c r="B40" s="37" t="s">
        <v>167</v>
      </c>
      <c r="C40" s="4">
        <f>$C$37/365-D40-E40-F40</f>
        <v>8.2328767123287676</v>
      </c>
      <c r="D40" s="87">
        <v>3</v>
      </c>
      <c r="E40" s="87">
        <v>0</v>
      </c>
      <c r="F40" s="87">
        <v>0</v>
      </c>
      <c r="G40" s="44">
        <f>(C40*$C$39+D40*$D$39+E40*$E$39+F40*$F$39)*365</f>
        <v>3826.25</v>
      </c>
    </row>
    <row r="41" spans="2:7">
      <c r="B41" s="37" t="s">
        <v>154</v>
      </c>
      <c r="C41" s="4">
        <f>$C$37/365-D41-E41-F41</f>
        <v>6.2328767123287676</v>
      </c>
      <c r="D41" s="87">
        <v>2</v>
      </c>
      <c r="E41" s="87">
        <v>3</v>
      </c>
      <c r="F41" s="87">
        <v>0</v>
      </c>
      <c r="G41" s="44">
        <f>(C41*$C$39+D41*$D$39+E41*$E$39+F41*$F$39)*365</f>
        <v>3370</v>
      </c>
    </row>
    <row r="42" spans="2:7">
      <c r="B42" s="37" t="s">
        <v>158</v>
      </c>
      <c r="C42" s="4">
        <f>$C$37/365-D42-E42-F42</f>
        <v>5.2328767123287676</v>
      </c>
      <c r="D42" s="87">
        <v>2</v>
      </c>
      <c r="E42" s="87">
        <v>2</v>
      </c>
      <c r="F42" s="87">
        <v>2</v>
      </c>
      <c r="G42" s="44">
        <f>(C42*$C$39+D42*$D$39+E42*$E$39+F42*$F$39)*365</f>
        <v>3005</v>
      </c>
    </row>
    <row r="43" spans="2:7">
      <c r="B43" s="37" t="s">
        <v>178</v>
      </c>
      <c r="C43" s="4">
        <f>$C$37/365-D43-E43-F43</f>
        <v>4.2328767123287676</v>
      </c>
      <c r="D43" s="87">
        <v>1</v>
      </c>
      <c r="E43" s="87">
        <v>2</v>
      </c>
      <c r="F43" s="87">
        <v>4</v>
      </c>
      <c r="G43" s="44">
        <f>(C43*$C$39+D43*$D$39+E43*$E$39+F43*$F$39)*365</f>
        <v>2548.75</v>
      </c>
    </row>
    <row r="44" spans="2:7" ht="15.95" thickBot="1">
      <c r="B44" s="38" t="s">
        <v>164</v>
      </c>
      <c r="C44" s="39">
        <v>8</v>
      </c>
      <c r="D44" s="93">
        <v>0</v>
      </c>
      <c r="E44" s="93">
        <v>16</v>
      </c>
      <c r="F44" s="93"/>
      <c r="G44" s="45">
        <f>(C44*$C$39+D44*$D$39+E44*$E$39+F44*$F$39)*365</f>
        <v>5840</v>
      </c>
    </row>
    <row r="50" spans="1:26" ht="15.95" thickBot="1">
      <c r="A50" t="s">
        <v>179</v>
      </c>
      <c r="C50" t="s">
        <v>180</v>
      </c>
    </row>
    <row r="51" spans="1:26">
      <c r="A51" s="32" t="s">
        <v>181</v>
      </c>
      <c r="B51" s="33" t="s">
        <v>24</v>
      </c>
      <c r="C51" s="33" t="s">
        <v>10</v>
      </c>
      <c r="D51" s="33" t="s">
        <v>182</v>
      </c>
      <c r="E51" s="33" t="s">
        <v>183</v>
      </c>
      <c r="F51" s="34" t="s">
        <v>184</v>
      </c>
      <c r="H51" s="32" t="s">
        <v>10</v>
      </c>
      <c r="I51" s="33" t="s">
        <v>185</v>
      </c>
      <c r="J51" s="34" t="s">
        <v>186</v>
      </c>
    </row>
    <row r="52" spans="1:26">
      <c r="A52" s="94" t="s">
        <v>54</v>
      </c>
      <c r="B52" s="87" t="s">
        <v>90</v>
      </c>
      <c r="C52" s="95" t="s">
        <v>47</v>
      </c>
      <c r="D52" s="87">
        <v>130</v>
      </c>
      <c r="E52">
        <f>LOOKUP(D52*Input_reference_conditions!$C$32,Input_price_assumptions!$A$24:$A$120,Input_price_assumptions!$B$24:$B$120)*VLOOKUP(C52,$H$52:$I$69,2,FALSE)</f>
        <v>580</v>
      </c>
      <c r="F52" s="35">
        <f t="shared" ref="F52:F69" si="0">VLOOKUP(B52,$B$10:$C$26,2,FALSE)</f>
        <v>3900</v>
      </c>
      <c r="H52" s="98" t="s">
        <v>47</v>
      </c>
      <c r="I52" s="79">
        <v>1</v>
      </c>
      <c r="J52" s="88">
        <f t="shared" ref="J52:J58" si="1">$C$4</f>
        <v>4100</v>
      </c>
    </row>
    <row r="53" spans="1:26">
      <c r="A53" s="94" t="s">
        <v>54</v>
      </c>
      <c r="B53" s="87" t="s">
        <v>57</v>
      </c>
      <c r="C53" s="95" t="s">
        <v>187</v>
      </c>
      <c r="D53" s="87">
        <v>130</v>
      </c>
      <c r="E53">
        <f>LOOKUP(D53*Input_reference_conditions!$C$32,Input_price_assumptions!$A$24:$A$120,Input_price_assumptions!$B$24:$B$120)*VLOOKUP(C53,$H$52:$I$69,2,FALSE)</f>
        <v>1160</v>
      </c>
      <c r="F53" s="35">
        <f t="shared" si="0"/>
        <v>3400</v>
      </c>
      <c r="H53" s="98" t="s">
        <v>187</v>
      </c>
      <c r="I53" s="79">
        <v>2</v>
      </c>
      <c r="J53" s="88">
        <f t="shared" si="1"/>
        <v>4100</v>
      </c>
    </row>
    <row r="54" spans="1:26">
      <c r="A54" s="94" t="s">
        <v>92</v>
      </c>
      <c r="B54" s="87" t="s">
        <v>90</v>
      </c>
      <c r="C54" s="95" t="s">
        <v>188</v>
      </c>
      <c r="D54" s="87">
        <v>65</v>
      </c>
      <c r="E54">
        <f>LOOKUP(D54*Input_reference_conditions!$C$32,Input_price_assumptions!$A$24:$A$120,Input_price_assumptions!$B$24:$B$120)*VLOOKUP(C54,$H$52:$I$69,2,FALSE)</f>
        <v>780</v>
      </c>
      <c r="F54" s="35">
        <f t="shared" si="0"/>
        <v>3900</v>
      </c>
      <c r="H54" s="98" t="s">
        <v>188</v>
      </c>
      <c r="I54" s="79">
        <v>2</v>
      </c>
      <c r="J54" s="88">
        <f t="shared" si="1"/>
        <v>4100</v>
      </c>
      <c r="Z54" s="1"/>
    </row>
    <row r="55" spans="1:26">
      <c r="A55" s="94" t="s">
        <v>94</v>
      </c>
      <c r="B55" s="87" t="s">
        <v>90</v>
      </c>
      <c r="C55" s="95" t="s">
        <v>189</v>
      </c>
      <c r="D55" s="87">
        <v>70</v>
      </c>
      <c r="E55">
        <f>LOOKUP(D55*Input_reference_conditions!$C$32,Input_price_assumptions!$A$24:$A$120,Input_price_assumptions!$B$24:$B$120)*VLOOKUP(C55,$H$52:$I$69,2,FALSE)</f>
        <v>800</v>
      </c>
      <c r="F55" s="35">
        <f t="shared" si="0"/>
        <v>3900</v>
      </c>
      <c r="H55" s="98" t="s">
        <v>189</v>
      </c>
      <c r="I55" s="79">
        <v>2</v>
      </c>
      <c r="J55" s="88">
        <f t="shared" si="1"/>
        <v>4100</v>
      </c>
      <c r="Z55" s="1"/>
    </row>
    <row r="56" spans="1:26">
      <c r="A56" s="94" t="s">
        <v>95</v>
      </c>
      <c r="B56" s="87" t="s">
        <v>90</v>
      </c>
      <c r="C56" s="95" t="s">
        <v>190</v>
      </c>
      <c r="D56" s="87">
        <v>30</v>
      </c>
      <c r="E56">
        <f>LOOKUP(D56*Input_reference_conditions!$C$32,Input_price_assumptions!$A$24:$A$120,Input_price_assumptions!$B$24:$B$120)*VLOOKUP(C56,$H$52:$I$69,2,FALSE)</f>
        <v>560</v>
      </c>
      <c r="F56" s="35">
        <f t="shared" si="0"/>
        <v>3900</v>
      </c>
      <c r="H56" s="98" t="s">
        <v>190</v>
      </c>
      <c r="I56" s="79">
        <v>2</v>
      </c>
      <c r="J56" s="88">
        <f t="shared" si="1"/>
        <v>4100</v>
      </c>
    </row>
    <row r="57" spans="1:26">
      <c r="A57" s="94" t="s">
        <v>96</v>
      </c>
      <c r="B57" s="87" t="s">
        <v>57</v>
      </c>
      <c r="C57" s="95" t="s">
        <v>191</v>
      </c>
      <c r="D57" s="87">
        <v>65</v>
      </c>
      <c r="E57">
        <f>LOOKUP(D57*Input_reference_conditions!$C$32,Input_price_assumptions!$A$24:$A$120,Input_price_assumptions!$B$24:$B$120)*VLOOKUP(C57,$H$52:$I$69,2,FALSE)</f>
        <v>780</v>
      </c>
      <c r="F57" s="35">
        <f t="shared" si="0"/>
        <v>3400</v>
      </c>
      <c r="H57" s="98" t="s">
        <v>191</v>
      </c>
      <c r="I57" s="79">
        <v>2</v>
      </c>
      <c r="J57" s="88">
        <f t="shared" si="1"/>
        <v>4100</v>
      </c>
    </row>
    <row r="58" spans="1:26">
      <c r="A58" s="94" t="s">
        <v>98</v>
      </c>
      <c r="B58" s="87" t="s">
        <v>57</v>
      </c>
      <c r="C58" s="95" t="s">
        <v>192</v>
      </c>
      <c r="D58" s="87">
        <v>40</v>
      </c>
      <c r="E58">
        <f>LOOKUP(D58*Input_reference_conditions!$C$32,Input_price_assumptions!$A$24:$A$120,Input_price_assumptions!$B$24:$B$120)*VLOOKUP(C58,$H$52:$I$69,2,FALSE)</f>
        <v>620</v>
      </c>
      <c r="F58" s="35">
        <f t="shared" si="0"/>
        <v>3400</v>
      </c>
      <c r="H58" s="98" t="s">
        <v>192</v>
      </c>
      <c r="I58" s="79">
        <v>2</v>
      </c>
      <c r="J58" s="88">
        <f t="shared" si="1"/>
        <v>4100</v>
      </c>
    </row>
    <row r="59" spans="1:26">
      <c r="A59" s="94" t="s">
        <v>99</v>
      </c>
      <c r="B59" s="87" t="s">
        <v>57</v>
      </c>
      <c r="C59" s="95" t="s">
        <v>193</v>
      </c>
      <c r="D59" s="87">
        <v>45</v>
      </c>
      <c r="E59">
        <f>LOOKUP(D59*Input_reference_conditions!$C$32,Input_price_assumptions!$A$24:$A$120,Input_price_assumptions!$B$24:$B$120)*VLOOKUP(C59,$H$52:$I$69,2,FALSE)</f>
        <v>160</v>
      </c>
      <c r="F59" s="35">
        <f t="shared" si="0"/>
        <v>3400</v>
      </c>
      <c r="H59" s="98" t="s">
        <v>193</v>
      </c>
      <c r="I59" s="79">
        <v>0.5</v>
      </c>
      <c r="J59" s="88">
        <f>$C$5</f>
        <v>8760</v>
      </c>
    </row>
    <row r="60" spans="1:26">
      <c r="A60" s="94" t="s">
        <v>101</v>
      </c>
      <c r="B60" s="87" t="s">
        <v>57</v>
      </c>
      <c r="C60" s="95" t="s">
        <v>194</v>
      </c>
      <c r="D60" s="87">
        <v>30</v>
      </c>
      <c r="E60">
        <f>LOOKUP(D60*Input_reference_conditions!$C$32,Input_price_assumptions!$A$24:$A$120,Input_price_assumptions!$B$24:$B$120)*VLOOKUP(C60,$H$52:$I$69,2,FALSE)</f>
        <v>140</v>
      </c>
      <c r="F60" s="35">
        <f t="shared" si="0"/>
        <v>3400</v>
      </c>
      <c r="H60" s="98" t="s">
        <v>194</v>
      </c>
      <c r="I60" s="79">
        <v>0.5</v>
      </c>
      <c r="J60" s="88">
        <f>$C$6</f>
        <v>1200</v>
      </c>
    </row>
    <row r="61" spans="1:26">
      <c r="A61" s="94" t="s">
        <v>195</v>
      </c>
      <c r="B61" s="87" t="s">
        <v>154</v>
      </c>
      <c r="C61" s="95" t="s">
        <v>196</v>
      </c>
      <c r="D61" s="87">
        <v>35</v>
      </c>
      <c r="E61">
        <f>LOOKUP(D61*Input_reference_conditions!$C$32,Input_price_assumptions!$A$24:$A$120,Input_price_assumptions!$B$24:$B$120)*VLOOKUP(C61,$H$52:$I$69,2,FALSE)</f>
        <v>145</v>
      </c>
      <c r="F61" s="35">
        <f t="shared" si="0"/>
        <v>2900</v>
      </c>
      <c r="H61" s="98" t="s">
        <v>196</v>
      </c>
      <c r="I61" s="79">
        <v>0.5</v>
      </c>
      <c r="J61" s="88">
        <f>$C$6</f>
        <v>1200</v>
      </c>
    </row>
    <row r="62" spans="1:26">
      <c r="A62" s="94" t="s">
        <v>197</v>
      </c>
      <c r="B62" s="87" t="s">
        <v>154</v>
      </c>
      <c r="C62" s="95" t="s">
        <v>198</v>
      </c>
      <c r="D62" s="87">
        <v>30</v>
      </c>
      <c r="E62">
        <f>LOOKUP(D62*Input_reference_conditions!$C$32,Input_price_assumptions!$A$24:$A$120,Input_price_assumptions!$B$24:$B$120)*VLOOKUP(C62,$H$52:$I$69,2,FALSE)</f>
        <v>140</v>
      </c>
      <c r="F62" s="35">
        <f t="shared" si="0"/>
        <v>2900</v>
      </c>
      <c r="H62" s="98" t="s">
        <v>198</v>
      </c>
      <c r="I62" s="79">
        <v>0.5</v>
      </c>
      <c r="J62" s="88">
        <f>$C$6</f>
        <v>1200</v>
      </c>
    </row>
    <row r="63" spans="1:26">
      <c r="A63" s="94" t="s">
        <v>199</v>
      </c>
      <c r="B63" s="87" t="s">
        <v>170</v>
      </c>
      <c r="C63" s="95" t="s">
        <v>200</v>
      </c>
      <c r="D63" s="87">
        <v>40</v>
      </c>
      <c r="E63">
        <f>LOOKUP(D63*Input_reference_conditions!$C$32,Input_price_assumptions!$A$24:$A$120,Input_price_assumptions!$B$24:$B$120)*VLOOKUP(C63,$H$52:$I$69,2,FALSE)</f>
        <v>155</v>
      </c>
      <c r="F63" s="35">
        <f t="shared" si="0"/>
        <v>3700</v>
      </c>
      <c r="H63" s="98" t="s">
        <v>200</v>
      </c>
      <c r="I63" s="79">
        <v>0.5</v>
      </c>
      <c r="J63" s="88">
        <f>$C$6</f>
        <v>1200</v>
      </c>
    </row>
    <row r="64" spans="1:26">
      <c r="A64" s="94" t="s">
        <v>199</v>
      </c>
      <c r="B64" s="87" t="s">
        <v>170</v>
      </c>
      <c r="C64" s="95" t="s">
        <v>201</v>
      </c>
      <c r="D64" s="87">
        <v>40</v>
      </c>
      <c r="E64">
        <f>LOOKUP(D64*Input_reference_conditions!$C$32,Input_price_assumptions!$A$24:$A$120,Input_price_assumptions!$B$24:$B$120)*VLOOKUP(C64,$H$52:$I$69,2,FALSE)</f>
        <v>155</v>
      </c>
      <c r="F64" s="35">
        <f t="shared" si="0"/>
        <v>3700</v>
      </c>
      <c r="H64" s="98" t="s">
        <v>201</v>
      </c>
      <c r="I64" s="79">
        <v>0.5</v>
      </c>
      <c r="J64" s="88">
        <f>$C$4</f>
        <v>4100</v>
      </c>
    </row>
    <row r="65" spans="1:10">
      <c r="A65" s="94" t="s">
        <v>202</v>
      </c>
      <c r="B65" s="87" t="s">
        <v>171</v>
      </c>
      <c r="C65" s="95" t="s">
        <v>203</v>
      </c>
      <c r="D65" s="87">
        <v>30</v>
      </c>
      <c r="E65">
        <f>LOOKUP(D65*Input_reference_conditions!$C$32,Input_price_assumptions!$A$24:$A$120,Input_price_assumptions!$B$24:$B$120)*VLOOKUP(C65,$H$52:$I$69,2,FALSE)</f>
        <v>560</v>
      </c>
      <c r="F65" s="35">
        <f t="shared" si="0"/>
        <v>3700</v>
      </c>
      <c r="H65" s="98" t="s">
        <v>203</v>
      </c>
      <c r="I65" s="79">
        <v>2</v>
      </c>
      <c r="J65" s="88">
        <f>$C$4</f>
        <v>4100</v>
      </c>
    </row>
    <row r="66" spans="1:10">
      <c r="A66" s="94" t="s">
        <v>204</v>
      </c>
      <c r="B66" s="87" t="s">
        <v>154</v>
      </c>
      <c r="C66" s="95" t="s">
        <v>205</v>
      </c>
      <c r="D66" s="87">
        <v>30</v>
      </c>
      <c r="E66">
        <f>LOOKUP(D66*Input_reference_conditions!$C$32,Input_price_assumptions!$A$24:$A$120,Input_price_assumptions!$B$24:$B$120)*VLOOKUP(C66,$H$52:$I$69,2,FALSE)</f>
        <v>420</v>
      </c>
      <c r="F66" s="35">
        <f t="shared" si="0"/>
        <v>2900</v>
      </c>
      <c r="H66" s="98" t="s">
        <v>205</v>
      </c>
      <c r="I66" s="79">
        <v>1.5</v>
      </c>
      <c r="J66" s="88">
        <f>$C$4</f>
        <v>4100</v>
      </c>
    </row>
    <row r="67" spans="1:10">
      <c r="A67" s="94" t="s">
        <v>206</v>
      </c>
      <c r="B67" s="87" t="s">
        <v>170</v>
      </c>
      <c r="C67" s="95" t="s">
        <v>207</v>
      </c>
      <c r="D67" s="87">
        <v>35</v>
      </c>
      <c r="E67">
        <f>LOOKUP(D67*Input_reference_conditions!$C$32,Input_price_assumptions!$A$24:$A$120,Input_price_assumptions!$B$24:$B$120)*VLOOKUP(C67,$H$52:$I$69,2,FALSE)</f>
        <v>290</v>
      </c>
      <c r="F67" s="35">
        <f t="shared" si="0"/>
        <v>3700</v>
      </c>
      <c r="H67" s="98" t="s">
        <v>207</v>
      </c>
      <c r="I67" s="79">
        <v>1</v>
      </c>
      <c r="J67" s="88">
        <f>$C$4</f>
        <v>4100</v>
      </c>
    </row>
    <row r="68" spans="1:10">
      <c r="A68" s="94" t="s">
        <v>208</v>
      </c>
      <c r="B68" s="87" t="s">
        <v>154</v>
      </c>
      <c r="C68" s="95" t="s">
        <v>209</v>
      </c>
      <c r="D68" s="87">
        <v>20</v>
      </c>
      <c r="E68">
        <f>LOOKUP(D68*Input_reference_conditions!$C$32,Input_price_assumptions!$A$24:$A$120,Input_price_assumptions!$B$24:$B$120)*VLOOKUP(C68,$H$52:$I$69,2,FALSE)</f>
        <v>192</v>
      </c>
      <c r="F68" s="35">
        <f t="shared" si="0"/>
        <v>2900</v>
      </c>
      <c r="H68" s="98" t="s">
        <v>209</v>
      </c>
      <c r="I68" s="79">
        <v>0.8</v>
      </c>
      <c r="J68" s="88">
        <f>$C$5</f>
        <v>8760</v>
      </c>
    </row>
    <row r="69" spans="1:10" ht="15.95" thickBot="1">
      <c r="A69" s="96" t="s">
        <v>210</v>
      </c>
      <c r="B69" s="93" t="s">
        <v>168</v>
      </c>
      <c r="C69" s="97" t="s">
        <v>211</v>
      </c>
      <c r="D69" s="93">
        <v>130</v>
      </c>
      <c r="E69" s="36">
        <f>LOOKUP(D69*Input_reference_conditions!$C$32,Input_price_assumptions!$A$24:$A$120,Input_price_assumptions!$B$24:$B$120)*VLOOKUP(C69,$H$52:$I$69,2,FALSE)</f>
        <v>464</v>
      </c>
      <c r="F69" s="40">
        <f t="shared" si="0"/>
        <v>3700</v>
      </c>
      <c r="H69" s="99" t="s">
        <v>211</v>
      </c>
      <c r="I69" s="100">
        <v>0.8</v>
      </c>
      <c r="J69" s="89">
        <f>$C$5</f>
        <v>8760</v>
      </c>
    </row>
  </sheetData>
  <autoFilter ref="A51:F102" xr:uid="{249EDC9B-A341-4C56-B315-D4C4AD49D81D}"/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BAE5F-15BF-46C1-89A9-2052B0286D92}">
  <dimension ref="A2:C120"/>
  <sheetViews>
    <sheetView workbookViewId="0"/>
  </sheetViews>
  <sheetFormatPr defaultColWidth="8.85546875" defaultRowHeight="15"/>
  <cols>
    <col min="1" max="1" width="41.42578125" bestFit="1" customWidth="1"/>
    <col min="2" max="2" width="17.85546875" bestFit="1" customWidth="1"/>
  </cols>
  <sheetData>
    <row r="2" spans="1:2" ht="15.95" thickBot="1"/>
    <row r="3" spans="1:2">
      <c r="A3" s="117" t="s">
        <v>212</v>
      </c>
      <c r="B3" s="118"/>
    </row>
    <row r="4" spans="1:2">
      <c r="A4" s="101" t="s">
        <v>213</v>
      </c>
      <c r="B4" s="88">
        <v>0.3589</v>
      </c>
    </row>
    <row r="5" spans="1:2">
      <c r="A5" s="101" t="s">
        <v>214</v>
      </c>
      <c r="B5" s="88">
        <v>0.105</v>
      </c>
    </row>
    <row r="6" spans="1:2">
      <c r="A6" s="101" t="s">
        <v>215</v>
      </c>
      <c r="B6" s="88">
        <v>3.7499999999999999E-3</v>
      </c>
    </row>
    <row r="7" spans="1:2">
      <c r="A7" s="101" t="s">
        <v>216</v>
      </c>
      <c r="B7" s="88">
        <v>0.24</v>
      </c>
    </row>
    <row r="8" spans="1:2" ht="15.95" thickBot="1">
      <c r="A8" s="47" t="s">
        <v>217</v>
      </c>
      <c r="B8" s="48">
        <f>(B4+B5+B6+B7)*(100%+B10)</f>
        <v>1.5000000000000002</v>
      </c>
    </row>
    <row r="9" spans="1:2" ht="15.95" thickBot="1">
      <c r="A9" s="3"/>
      <c r="B9" s="3"/>
    </row>
    <row r="10" spans="1:2" ht="15.95" thickBot="1">
      <c r="A10" s="49" t="s">
        <v>218</v>
      </c>
      <c r="B10" s="50">
        <v>1.1196919381049961</v>
      </c>
    </row>
    <row r="11" spans="1:2">
      <c r="A11" s="3"/>
      <c r="B11" s="3"/>
    </row>
    <row r="12" spans="1:2" ht="15.95" thickBot="1"/>
    <row r="13" spans="1:2">
      <c r="A13" s="32" t="s">
        <v>219</v>
      </c>
      <c r="B13" s="102">
        <v>0.13</v>
      </c>
    </row>
    <row r="14" spans="1:2" ht="15.95" thickBot="1">
      <c r="A14" s="42" t="s">
        <v>220</v>
      </c>
      <c r="B14" s="103">
        <v>0.25</v>
      </c>
    </row>
    <row r="15" spans="1:2" ht="15.95" thickBot="1"/>
    <row r="16" spans="1:2" ht="15.95" thickBot="1">
      <c r="A16" s="49" t="s">
        <v>221</v>
      </c>
      <c r="B16" s="51">
        <v>0</v>
      </c>
    </row>
    <row r="19" spans="1:3" ht="15.95" thickBot="1"/>
    <row r="20" spans="1:3" ht="15.95" thickBot="1">
      <c r="A20" s="46" t="s">
        <v>222</v>
      </c>
      <c r="B20" s="92">
        <v>400</v>
      </c>
    </row>
    <row r="22" spans="1:3" ht="15.95" thickBot="1"/>
    <row r="23" spans="1:3">
      <c r="A23" s="32" t="s">
        <v>223</v>
      </c>
      <c r="B23" s="33" t="s">
        <v>224</v>
      </c>
      <c r="C23" s="34" t="s">
        <v>224</v>
      </c>
    </row>
    <row r="24" spans="1:3">
      <c r="A24" s="41">
        <v>5</v>
      </c>
      <c r="B24">
        <f>ROUNDUP(C24*(100%+$B$16),0)</f>
        <v>240</v>
      </c>
      <c r="C24" s="88">
        <v>240</v>
      </c>
    </row>
    <row r="25" spans="1:3">
      <c r="A25" s="41">
        <v>1688</v>
      </c>
      <c r="B25">
        <f t="shared" ref="B25:B88" si="0">ROUNDUP(C25*(100%+$B$16),0)</f>
        <v>240</v>
      </c>
      <c r="C25" s="88">
        <v>240</v>
      </c>
    </row>
    <row r="26" spans="1:3">
      <c r="A26" s="41">
        <v>1888</v>
      </c>
      <c r="B26">
        <f t="shared" si="0"/>
        <v>240</v>
      </c>
      <c r="C26" s="88">
        <v>240</v>
      </c>
    </row>
    <row r="27" spans="1:3">
      <c r="A27" s="41">
        <v>1900</v>
      </c>
      <c r="B27">
        <f t="shared" si="0"/>
        <v>240</v>
      </c>
      <c r="C27" s="88">
        <v>240</v>
      </c>
    </row>
    <row r="28" spans="1:3">
      <c r="A28" s="41">
        <v>1900</v>
      </c>
      <c r="B28">
        <f t="shared" si="0"/>
        <v>240</v>
      </c>
      <c r="C28" s="88">
        <v>240</v>
      </c>
    </row>
    <row r="29" spans="1:3">
      <c r="A29" s="41">
        <v>2000</v>
      </c>
      <c r="B29">
        <f t="shared" si="0"/>
        <v>240</v>
      </c>
      <c r="C29" s="88">
        <v>240</v>
      </c>
    </row>
    <row r="30" spans="1:3">
      <c r="A30" s="41">
        <v>2000</v>
      </c>
      <c r="B30">
        <f t="shared" si="0"/>
        <v>240</v>
      </c>
      <c r="C30" s="88">
        <v>240</v>
      </c>
    </row>
    <row r="31" spans="1:3">
      <c r="A31" s="41">
        <v>2000</v>
      </c>
      <c r="B31">
        <f t="shared" si="0"/>
        <v>240</v>
      </c>
      <c r="C31" s="88">
        <v>240</v>
      </c>
    </row>
    <row r="32" spans="1:3">
      <c r="A32" s="41">
        <v>2200</v>
      </c>
      <c r="B32">
        <f t="shared" si="0"/>
        <v>240</v>
      </c>
      <c r="C32" s="88">
        <v>240</v>
      </c>
    </row>
    <row r="33" spans="1:3">
      <c r="A33" s="41">
        <v>2285.6</v>
      </c>
      <c r="B33">
        <f t="shared" si="0"/>
        <v>240</v>
      </c>
      <c r="C33" s="88">
        <v>240</v>
      </c>
    </row>
    <row r="34" spans="1:3">
      <c r="A34" s="41">
        <v>2400</v>
      </c>
      <c r="B34">
        <f t="shared" si="0"/>
        <v>240</v>
      </c>
      <c r="C34" s="88">
        <v>240</v>
      </c>
    </row>
    <row r="35" spans="1:3">
      <c r="A35" s="41">
        <v>2500</v>
      </c>
      <c r="B35">
        <f t="shared" si="0"/>
        <v>240</v>
      </c>
      <c r="C35" s="88">
        <v>240</v>
      </c>
    </row>
    <row r="36" spans="1:3">
      <c r="A36" s="41">
        <v>2500</v>
      </c>
      <c r="B36">
        <f t="shared" si="0"/>
        <v>240</v>
      </c>
      <c r="C36" s="88">
        <v>240</v>
      </c>
    </row>
    <row r="37" spans="1:3">
      <c r="A37" s="41">
        <v>2536</v>
      </c>
      <c r="B37">
        <f t="shared" si="0"/>
        <v>240</v>
      </c>
      <c r="C37" s="88">
        <v>240</v>
      </c>
    </row>
    <row r="38" spans="1:3">
      <c r="A38" s="41">
        <v>2666.4</v>
      </c>
      <c r="B38">
        <f t="shared" si="0"/>
        <v>250</v>
      </c>
      <c r="C38" s="88">
        <v>250</v>
      </c>
    </row>
    <row r="39" spans="1:3">
      <c r="A39" s="41">
        <v>3176</v>
      </c>
      <c r="B39">
        <f t="shared" si="0"/>
        <v>260</v>
      </c>
      <c r="C39" s="88">
        <v>260</v>
      </c>
    </row>
    <row r="40" spans="1:3">
      <c r="A40" s="41">
        <v>3200</v>
      </c>
      <c r="B40">
        <f t="shared" si="0"/>
        <v>260</v>
      </c>
      <c r="C40" s="88">
        <v>260</v>
      </c>
    </row>
    <row r="41" spans="1:3">
      <c r="A41" s="41">
        <v>3200</v>
      </c>
      <c r="B41">
        <f t="shared" si="0"/>
        <v>260</v>
      </c>
      <c r="C41" s="88">
        <v>260</v>
      </c>
    </row>
    <row r="42" spans="1:3">
      <c r="A42" s="41">
        <v>3400</v>
      </c>
      <c r="B42">
        <f t="shared" si="0"/>
        <v>270</v>
      </c>
      <c r="C42" s="88">
        <v>270</v>
      </c>
    </row>
    <row r="43" spans="1:3">
      <c r="A43" s="41">
        <v>3600</v>
      </c>
      <c r="B43">
        <f t="shared" si="0"/>
        <v>270</v>
      </c>
      <c r="C43" s="88">
        <v>270</v>
      </c>
    </row>
    <row r="44" spans="1:3">
      <c r="A44" s="41">
        <v>3600</v>
      </c>
      <c r="B44">
        <f t="shared" si="0"/>
        <v>270</v>
      </c>
      <c r="C44" s="88">
        <v>270</v>
      </c>
    </row>
    <row r="45" spans="1:3">
      <c r="A45" s="41">
        <v>3600</v>
      </c>
      <c r="B45">
        <f t="shared" si="0"/>
        <v>270</v>
      </c>
      <c r="C45" s="88">
        <v>270</v>
      </c>
    </row>
    <row r="46" spans="1:3">
      <c r="A46" s="41">
        <v>3800</v>
      </c>
      <c r="B46">
        <f t="shared" si="0"/>
        <v>280</v>
      </c>
      <c r="C46" s="88">
        <v>280</v>
      </c>
    </row>
    <row r="47" spans="1:3">
      <c r="A47" s="41">
        <v>3800</v>
      </c>
      <c r="B47">
        <f t="shared" si="0"/>
        <v>280</v>
      </c>
      <c r="C47" s="88">
        <v>280</v>
      </c>
    </row>
    <row r="48" spans="1:3">
      <c r="A48" s="41">
        <v>3807.2000000000003</v>
      </c>
      <c r="B48">
        <f t="shared" si="0"/>
        <v>280</v>
      </c>
      <c r="C48" s="88">
        <v>280</v>
      </c>
    </row>
    <row r="49" spans="1:3">
      <c r="A49" s="41">
        <v>4080</v>
      </c>
      <c r="B49">
        <f t="shared" si="0"/>
        <v>280</v>
      </c>
      <c r="C49" s="88">
        <v>280</v>
      </c>
    </row>
    <row r="50" spans="1:3">
      <c r="A50" s="41">
        <v>4132.8</v>
      </c>
      <c r="B50">
        <f t="shared" si="0"/>
        <v>280</v>
      </c>
      <c r="C50" s="88">
        <v>280</v>
      </c>
    </row>
    <row r="51" spans="1:3">
      <c r="A51" s="41">
        <v>4200</v>
      </c>
      <c r="B51">
        <f t="shared" si="0"/>
        <v>290</v>
      </c>
      <c r="C51" s="88">
        <v>290</v>
      </c>
    </row>
    <row r="52" spans="1:3">
      <c r="A52" s="41">
        <v>4200</v>
      </c>
      <c r="B52">
        <f t="shared" si="0"/>
        <v>290</v>
      </c>
      <c r="C52" s="88">
        <v>290</v>
      </c>
    </row>
    <row r="53" spans="1:3">
      <c r="A53" s="41">
        <v>4200</v>
      </c>
      <c r="B53">
        <f t="shared" si="0"/>
        <v>290</v>
      </c>
      <c r="C53" s="88">
        <v>290</v>
      </c>
    </row>
    <row r="54" spans="1:3">
      <c r="A54" s="41">
        <v>4444</v>
      </c>
      <c r="B54">
        <f t="shared" si="0"/>
        <v>290</v>
      </c>
      <c r="C54" s="88">
        <v>290</v>
      </c>
    </row>
    <row r="55" spans="1:3">
      <c r="A55" s="41">
        <v>4450</v>
      </c>
      <c r="B55">
        <f t="shared" si="0"/>
        <v>290</v>
      </c>
      <c r="C55" s="88">
        <v>290</v>
      </c>
    </row>
    <row r="56" spans="1:3">
      <c r="A56" s="41">
        <v>4680</v>
      </c>
      <c r="B56">
        <f t="shared" si="0"/>
        <v>300</v>
      </c>
      <c r="C56" s="88">
        <v>300</v>
      </c>
    </row>
    <row r="57" spans="1:3">
      <c r="A57" s="41">
        <v>4700</v>
      </c>
      <c r="B57">
        <f t="shared" si="0"/>
        <v>300</v>
      </c>
      <c r="C57" s="88">
        <v>300</v>
      </c>
    </row>
    <row r="58" spans="1:3">
      <c r="A58" s="41">
        <v>4700</v>
      </c>
      <c r="B58">
        <f t="shared" si="0"/>
        <v>300</v>
      </c>
      <c r="C58" s="88">
        <v>300</v>
      </c>
    </row>
    <row r="59" spans="1:3">
      <c r="A59" s="41">
        <v>5000</v>
      </c>
      <c r="B59">
        <f t="shared" si="0"/>
        <v>300</v>
      </c>
      <c r="C59" s="88">
        <v>300</v>
      </c>
    </row>
    <row r="60" spans="1:3">
      <c r="A60" s="41">
        <v>5200</v>
      </c>
      <c r="B60">
        <f t="shared" si="0"/>
        <v>310</v>
      </c>
      <c r="C60" s="88">
        <v>310</v>
      </c>
    </row>
    <row r="61" spans="1:3">
      <c r="A61" s="41">
        <v>5280</v>
      </c>
      <c r="B61">
        <f t="shared" si="0"/>
        <v>310</v>
      </c>
      <c r="C61" s="88">
        <v>310</v>
      </c>
    </row>
    <row r="62" spans="1:3">
      <c r="A62" s="41">
        <v>5300</v>
      </c>
      <c r="B62">
        <f t="shared" si="0"/>
        <v>310</v>
      </c>
      <c r="C62" s="88">
        <v>310</v>
      </c>
    </row>
    <row r="63" spans="1:3">
      <c r="A63" s="41">
        <v>5500</v>
      </c>
      <c r="B63">
        <f t="shared" si="0"/>
        <v>320</v>
      </c>
      <c r="C63" s="88">
        <v>320</v>
      </c>
    </row>
    <row r="64" spans="1:3">
      <c r="A64" s="41">
        <v>5700</v>
      </c>
      <c r="B64">
        <f t="shared" si="0"/>
        <v>320</v>
      </c>
      <c r="C64" s="88">
        <v>320</v>
      </c>
    </row>
    <row r="65" spans="1:3">
      <c r="A65" s="41">
        <v>5857.6</v>
      </c>
      <c r="B65">
        <f t="shared" si="0"/>
        <v>330</v>
      </c>
      <c r="C65" s="88">
        <v>330</v>
      </c>
    </row>
    <row r="66" spans="1:3">
      <c r="A66" s="41">
        <v>5900</v>
      </c>
      <c r="B66">
        <f t="shared" si="0"/>
        <v>330</v>
      </c>
      <c r="C66" s="88">
        <v>330</v>
      </c>
    </row>
    <row r="67" spans="1:3">
      <c r="A67" s="41">
        <v>5944</v>
      </c>
      <c r="B67">
        <f t="shared" si="0"/>
        <v>330</v>
      </c>
      <c r="C67" s="88">
        <v>330</v>
      </c>
    </row>
    <row r="68" spans="1:3">
      <c r="A68" s="41">
        <v>6200</v>
      </c>
      <c r="B68">
        <f t="shared" si="0"/>
        <v>330</v>
      </c>
      <c r="C68" s="88">
        <v>330</v>
      </c>
    </row>
    <row r="69" spans="1:3">
      <c r="A69" s="41">
        <v>6488</v>
      </c>
      <c r="B69">
        <f t="shared" si="0"/>
        <v>340</v>
      </c>
      <c r="C69" s="88">
        <v>340</v>
      </c>
    </row>
    <row r="70" spans="1:3">
      <c r="A70" s="41">
        <v>6500</v>
      </c>
      <c r="B70">
        <f t="shared" si="0"/>
        <v>340</v>
      </c>
      <c r="C70" s="88">
        <v>340</v>
      </c>
    </row>
    <row r="71" spans="1:3">
      <c r="A71" s="41">
        <v>6500</v>
      </c>
      <c r="B71">
        <f t="shared" si="0"/>
        <v>340</v>
      </c>
      <c r="C71" s="88">
        <v>340</v>
      </c>
    </row>
    <row r="72" spans="1:3">
      <c r="A72" s="41">
        <v>6693.6</v>
      </c>
      <c r="B72">
        <f t="shared" si="0"/>
        <v>350</v>
      </c>
      <c r="C72" s="88">
        <v>350</v>
      </c>
    </row>
    <row r="73" spans="1:3">
      <c r="A73" s="41">
        <v>6720</v>
      </c>
      <c r="B73">
        <f t="shared" si="0"/>
        <v>350</v>
      </c>
      <c r="C73" s="88">
        <v>350</v>
      </c>
    </row>
    <row r="74" spans="1:3">
      <c r="A74" s="41">
        <v>6720</v>
      </c>
      <c r="B74">
        <f t="shared" si="0"/>
        <v>350</v>
      </c>
      <c r="C74" s="88">
        <v>350</v>
      </c>
    </row>
    <row r="75" spans="1:3">
      <c r="A75" s="41">
        <v>6880</v>
      </c>
      <c r="B75">
        <f t="shared" si="0"/>
        <v>350</v>
      </c>
      <c r="C75" s="88">
        <v>350</v>
      </c>
    </row>
    <row r="76" spans="1:3">
      <c r="A76" s="41">
        <v>7000</v>
      </c>
      <c r="B76">
        <f t="shared" si="0"/>
        <v>350</v>
      </c>
      <c r="C76" s="88">
        <v>350</v>
      </c>
    </row>
    <row r="77" spans="1:3">
      <c r="A77" s="41">
        <v>7100</v>
      </c>
      <c r="B77">
        <f t="shared" si="0"/>
        <v>360</v>
      </c>
      <c r="C77" s="88">
        <v>360</v>
      </c>
    </row>
    <row r="78" spans="1:3">
      <c r="A78" s="41">
        <v>7450</v>
      </c>
      <c r="B78">
        <f t="shared" si="0"/>
        <v>360</v>
      </c>
      <c r="C78" s="88">
        <v>360</v>
      </c>
    </row>
    <row r="79" spans="1:3">
      <c r="A79" s="41">
        <v>7700</v>
      </c>
      <c r="B79">
        <f t="shared" si="0"/>
        <v>370</v>
      </c>
      <c r="C79" s="88">
        <v>370</v>
      </c>
    </row>
    <row r="80" spans="1:3">
      <c r="A80" s="41">
        <v>7896</v>
      </c>
      <c r="B80">
        <f t="shared" si="0"/>
        <v>370</v>
      </c>
      <c r="C80" s="88">
        <v>370</v>
      </c>
    </row>
    <row r="81" spans="1:3">
      <c r="A81" s="41">
        <v>8400</v>
      </c>
      <c r="B81">
        <f t="shared" si="0"/>
        <v>390</v>
      </c>
      <c r="C81" s="88">
        <v>390</v>
      </c>
    </row>
    <row r="82" spans="1:3">
      <c r="A82" s="41">
        <v>8400</v>
      </c>
      <c r="B82">
        <f t="shared" si="0"/>
        <v>390</v>
      </c>
      <c r="C82" s="88">
        <v>390</v>
      </c>
    </row>
    <row r="83" spans="1:3">
      <c r="A83" s="41">
        <v>8720</v>
      </c>
      <c r="B83">
        <f t="shared" si="0"/>
        <v>390</v>
      </c>
      <c r="C83" s="88">
        <v>390</v>
      </c>
    </row>
    <row r="84" spans="1:3">
      <c r="A84" s="41">
        <v>8800</v>
      </c>
      <c r="B84">
        <f t="shared" si="0"/>
        <v>400</v>
      </c>
      <c r="C84" s="88">
        <v>400</v>
      </c>
    </row>
    <row r="85" spans="1:3">
      <c r="A85" s="41">
        <v>8800</v>
      </c>
      <c r="B85">
        <f t="shared" si="0"/>
        <v>400</v>
      </c>
      <c r="C85" s="88">
        <v>400</v>
      </c>
    </row>
    <row r="86" spans="1:3">
      <c r="A86" s="41">
        <v>8880</v>
      </c>
      <c r="B86">
        <f t="shared" si="0"/>
        <v>400</v>
      </c>
      <c r="C86" s="88">
        <v>400</v>
      </c>
    </row>
    <row r="87" spans="1:3">
      <c r="A87" s="41">
        <v>9300</v>
      </c>
      <c r="B87">
        <f t="shared" si="0"/>
        <v>410</v>
      </c>
      <c r="C87" s="88">
        <v>410</v>
      </c>
    </row>
    <row r="88" spans="1:3">
      <c r="A88" s="41">
        <v>9304</v>
      </c>
      <c r="B88">
        <f t="shared" si="0"/>
        <v>410</v>
      </c>
      <c r="C88" s="88">
        <v>410</v>
      </c>
    </row>
    <row r="89" spans="1:3">
      <c r="A89" s="41">
        <v>9762.4</v>
      </c>
      <c r="B89">
        <f t="shared" ref="B89:B120" si="1">ROUNDUP(C89*(100%+$B$16),0)</f>
        <v>420</v>
      </c>
      <c r="C89" s="88">
        <v>420</v>
      </c>
    </row>
    <row r="90" spans="1:3">
      <c r="A90" s="41">
        <v>9762.4</v>
      </c>
      <c r="B90">
        <f t="shared" si="1"/>
        <v>420</v>
      </c>
      <c r="C90" s="88">
        <v>420</v>
      </c>
    </row>
    <row r="91" spans="1:3">
      <c r="A91" s="41">
        <v>9900</v>
      </c>
      <c r="B91">
        <f t="shared" si="1"/>
        <v>420</v>
      </c>
      <c r="C91" s="88">
        <v>420</v>
      </c>
    </row>
    <row r="92" spans="1:3">
      <c r="A92" s="41">
        <v>10000</v>
      </c>
      <c r="B92">
        <f t="shared" si="1"/>
        <v>420</v>
      </c>
      <c r="C92" s="88">
        <v>420</v>
      </c>
    </row>
    <row r="93" spans="1:3">
      <c r="A93" s="41">
        <v>10900</v>
      </c>
      <c r="B93">
        <f t="shared" si="1"/>
        <v>440</v>
      </c>
      <c r="C93" s="88">
        <v>440</v>
      </c>
    </row>
    <row r="94" spans="1:3">
      <c r="A94" s="41">
        <v>11000</v>
      </c>
      <c r="B94">
        <f t="shared" si="1"/>
        <v>450</v>
      </c>
      <c r="C94" s="88">
        <v>450</v>
      </c>
    </row>
    <row r="95" spans="1:3">
      <c r="A95" s="41">
        <v>11100</v>
      </c>
      <c r="B95">
        <f t="shared" si="1"/>
        <v>450</v>
      </c>
      <c r="C95" s="88">
        <v>450</v>
      </c>
    </row>
    <row r="96" spans="1:3">
      <c r="A96" s="41">
        <v>11280</v>
      </c>
      <c r="B96">
        <f t="shared" si="1"/>
        <v>450</v>
      </c>
      <c r="C96" s="88">
        <v>450</v>
      </c>
    </row>
    <row r="97" spans="1:3">
      <c r="A97" s="41">
        <v>11336.800000000001</v>
      </c>
      <c r="B97">
        <f t="shared" si="1"/>
        <v>450</v>
      </c>
      <c r="C97" s="88">
        <v>450</v>
      </c>
    </row>
    <row r="98" spans="1:3">
      <c r="A98" s="41">
        <v>11440</v>
      </c>
      <c r="B98">
        <f t="shared" si="1"/>
        <v>460</v>
      </c>
      <c r="C98" s="88">
        <v>460</v>
      </c>
    </row>
    <row r="99" spans="1:3">
      <c r="A99" s="41">
        <v>12320</v>
      </c>
      <c r="B99">
        <f t="shared" si="1"/>
        <v>480</v>
      </c>
      <c r="C99" s="88">
        <v>480</v>
      </c>
    </row>
    <row r="100" spans="1:3">
      <c r="A100" s="41">
        <v>13000</v>
      </c>
      <c r="B100">
        <f t="shared" si="1"/>
        <v>490</v>
      </c>
      <c r="C100" s="88">
        <v>490</v>
      </c>
    </row>
    <row r="101" spans="1:3">
      <c r="A101" s="41">
        <v>14200</v>
      </c>
      <c r="B101">
        <f t="shared" si="1"/>
        <v>520</v>
      </c>
      <c r="C101" s="88">
        <v>520</v>
      </c>
    </row>
    <row r="102" spans="1:3">
      <c r="A102" s="41">
        <v>14300</v>
      </c>
      <c r="B102">
        <f t="shared" si="1"/>
        <v>520</v>
      </c>
      <c r="C102" s="88">
        <v>520</v>
      </c>
    </row>
    <row r="103" spans="1:3">
      <c r="A103" s="41">
        <v>14400</v>
      </c>
      <c r="B103">
        <f t="shared" si="1"/>
        <v>520</v>
      </c>
      <c r="C103" s="88">
        <v>520</v>
      </c>
    </row>
    <row r="104" spans="1:3">
      <c r="A104" s="41">
        <v>14480.800000000001</v>
      </c>
      <c r="B104">
        <f t="shared" si="1"/>
        <v>520</v>
      </c>
      <c r="C104" s="88">
        <v>520</v>
      </c>
    </row>
    <row r="105" spans="1:3">
      <c r="A105" s="41">
        <v>14720</v>
      </c>
      <c r="B105">
        <f t="shared" si="1"/>
        <v>530</v>
      </c>
      <c r="C105" s="88">
        <v>530</v>
      </c>
    </row>
    <row r="106" spans="1:3">
      <c r="A106" s="41">
        <v>16833.600000000002</v>
      </c>
      <c r="B106">
        <f t="shared" si="1"/>
        <v>580</v>
      </c>
      <c r="C106" s="88">
        <v>580</v>
      </c>
    </row>
    <row r="107" spans="1:3">
      <c r="A107" s="41">
        <v>16900</v>
      </c>
      <c r="B107">
        <f t="shared" si="1"/>
        <v>580</v>
      </c>
      <c r="C107" s="88">
        <v>580</v>
      </c>
    </row>
    <row r="108" spans="1:3">
      <c r="A108" s="41">
        <v>17136.8</v>
      </c>
      <c r="B108">
        <f t="shared" si="1"/>
        <v>580</v>
      </c>
      <c r="C108" s="88">
        <v>580</v>
      </c>
    </row>
    <row r="109" spans="1:3">
      <c r="A109" s="41">
        <v>18700</v>
      </c>
      <c r="B109">
        <f t="shared" si="1"/>
        <v>620</v>
      </c>
      <c r="C109" s="88">
        <v>620</v>
      </c>
    </row>
    <row r="110" spans="1:3">
      <c r="A110" s="41">
        <v>18853.600000000002</v>
      </c>
      <c r="B110">
        <f t="shared" si="1"/>
        <v>620</v>
      </c>
      <c r="C110" s="88">
        <v>620</v>
      </c>
    </row>
    <row r="111" spans="1:3">
      <c r="A111" s="41">
        <v>19016</v>
      </c>
      <c r="B111">
        <f t="shared" si="1"/>
        <v>620</v>
      </c>
      <c r="C111" s="88">
        <v>620</v>
      </c>
    </row>
    <row r="112" spans="1:3">
      <c r="A112" s="41">
        <v>19046.400000000001</v>
      </c>
      <c r="B112">
        <f t="shared" si="1"/>
        <v>620</v>
      </c>
      <c r="C112" s="88">
        <v>620</v>
      </c>
    </row>
    <row r="113" spans="1:3">
      <c r="A113" s="41">
        <v>20300</v>
      </c>
      <c r="B113">
        <f t="shared" si="1"/>
        <v>650</v>
      </c>
      <c r="C113" s="88">
        <v>650</v>
      </c>
    </row>
    <row r="114" spans="1:3">
      <c r="A114" s="41">
        <v>24000</v>
      </c>
      <c r="B114">
        <f t="shared" si="1"/>
        <v>720</v>
      </c>
      <c r="C114" s="88">
        <v>720</v>
      </c>
    </row>
    <row r="115" spans="1:3">
      <c r="A115" s="41">
        <v>24300</v>
      </c>
      <c r="B115">
        <f t="shared" si="1"/>
        <v>730</v>
      </c>
      <c r="C115" s="88">
        <v>730</v>
      </c>
    </row>
    <row r="116" spans="1:3">
      <c r="A116" s="41">
        <v>24436</v>
      </c>
      <c r="B116">
        <f t="shared" si="1"/>
        <v>730</v>
      </c>
      <c r="C116" s="88">
        <v>730</v>
      </c>
    </row>
    <row r="117" spans="1:3">
      <c r="A117" s="41">
        <v>26240</v>
      </c>
      <c r="B117">
        <f t="shared" si="1"/>
        <v>770</v>
      </c>
      <c r="C117" s="88">
        <v>770</v>
      </c>
    </row>
    <row r="118" spans="1:3">
      <c r="A118" s="41">
        <v>31100</v>
      </c>
      <c r="B118">
        <f t="shared" si="1"/>
        <v>860</v>
      </c>
      <c r="C118" s="88">
        <v>860</v>
      </c>
    </row>
    <row r="119" spans="1:3">
      <c r="A119" s="41">
        <v>40500</v>
      </c>
      <c r="B119">
        <f t="shared" si="1"/>
        <v>1030</v>
      </c>
      <c r="C119" s="88">
        <v>1030</v>
      </c>
    </row>
    <row r="120" spans="1:3" ht="15.95" thickBot="1">
      <c r="A120" s="42">
        <v>52600</v>
      </c>
      <c r="B120" s="36">
        <f t="shared" si="1"/>
        <v>1210</v>
      </c>
      <c r="C120" s="89">
        <v>1210</v>
      </c>
    </row>
  </sheetData>
  <mergeCells count="1">
    <mergeCell ref="A3:B3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5C5D2-3554-4AD7-A040-C7C5AB2DE790}">
  <dimension ref="B2:V3"/>
  <sheetViews>
    <sheetView topLeftCell="P1" workbookViewId="0">
      <selection activeCell="E3" sqref="E3"/>
    </sheetView>
  </sheetViews>
  <sheetFormatPr defaultColWidth="8.85546875" defaultRowHeight="15"/>
  <cols>
    <col min="1" max="1" width="4.28515625" customWidth="1"/>
    <col min="2" max="3" width="11.140625" customWidth="1"/>
    <col min="4" max="18" width="30.7109375" customWidth="1"/>
    <col min="19" max="19" width="30.7109375" style="5" customWidth="1"/>
    <col min="20" max="20" width="50.42578125" style="6" customWidth="1"/>
    <col min="21" max="21" width="21.28515625" customWidth="1"/>
    <col min="23" max="23" width="12.42578125" customWidth="1"/>
    <col min="24" max="24" width="7.7109375" customWidth="1"/>
  </cols>
  <sheetData>
    <row r="2" spans="2:22">
      <c r="B2" t="s">
        <v>5</v>
      </c>
      <c r="C2" t="s">
        <v>10</v>
      </c>
      <c r="D2" t="s">
        <v>225</v>
      </c>
      <c r="E2" t="s">
        <v>226</v>
      </c>
      <c r="F2" t="s">
        <v>227</v>
      </c>
      <c r="G2" t="s">
        <v>228</v>
      </c>
      <c r="H2" t="s">
        <v>229</v>
      </c>
      <c r="I2" t="s">
        <v>230</v>
      </c>
      <c r="J2" t="s">
        <v>231</v>
      </c>
      <c r="K2" t="s">
        <v>232</v>
      </c>
      <c r="L2" t="s">
        <v>233</v>
      </c>
      <c r="M2" t="s">
        <v>234</v>
      </c>
      <c r="N2" t="s">
        <v>235</v>
      </c>
      <c r="O2" t="s">
        <v>236</v>
      </c>
      <c r="P2" t="s">
        <v>237</v>
      </c>
      <c r="Q2" t="s">
        <v>238</v>
      </c>
      <c r="R2" t="s">
        <v>239</v>
      </c>
      <c r="S2" s="105" t="s">
        <v>240</v>
      </c>
      <c r="T2" s="6" t="s">
        <v>36</v>
      </c>
      <c r="U2" t="s">
        <v>181</v>
      </c>
      <c r="V2" t="s">
        <v>241</v>
      </c>
    </row>
    <row r="3" spans="2:22">
      <c r="B3">
        <f>Input_lamppost!B2</f>
        <v>1</v>
      </c>
      <c r="C3" t="s">
        <v>47</v>
      </c>
      <c r="D3" s="2">
        <f>Input_lamppost!AE2</f>
        <v>297.5</v>
      </c>
      <c r="E3" s="2">
        <v>1</v>
      </c>
      <c r="F3" s="2">
        <f>VLOOKUP(Table1[[#This Row],[Luminaire type]],Input_reference_conditions!$H$52:$J$69,3,FALSE)</f>
        <v>4100</v>
      </c>
      <c r="G3" s="2">
        <f>Table1[[#This Row],[Luminaire power (W)]]*Input_reference_conditions!$C$4/1000</f>
        <v>1219.75</v>
      </c>
      <c r="H3" s="2">
        <f>Table1[[#This Row],[Energy consumption (kWh per year)]]*Input_price_assumptions!$B$8*(100%+Input_price_assumptions!$B$13)</f>
        <v>2067.4762500000002</v>
      </c>
      <c r="I3" s="2">
        <f>IFERROR(VLOOKUP(Table1[[#This Row],[Characteristic profile]],Input_reference_conditions!$A$52:$D$69,6,FALSE),Table1[[#This Row],[Luminaire power (W)]]*0.7)</f>
        <v>208.25</v>
      </c>
      <c r="J3" s="2">
        <f>VLOOKUP(Table1[[#This Row],[Characteristic profile]],Input_reference_conditions!$A$52:$E$69,5,FALSE)*(100%+Input_price_assumptions!$B$14)</f>
        <v>725</v>
      </c>
      <c r="K3" s="2">
        <f>Table1[[#This Row],[Unit cost per new luminaire (EUR with VAT)]]*Table1[[#This Row],[Number of luminaires]]</f>
        <v>725</v>
      </c>
      <c r="L3" s="2">
        <f>Input_price_assumptions!$B$20</f>
        <v>400</v>
      </c>
      <c r="M3" s="2">
        <f>Table1[[#This Row],[Costs of material (EUR with VAT)]]+Table1[[#This Row],[Costs of work (EUR with VAT)]]</f>
        <v>1125</v>
      </c>
      <c r="N3" s="2">
        <f>Table1[[#This Row],[Proposed power of replacement luminaire (W)]]*Table1[[#This Row],[Number of luminaires]]</f>
        <v>208.25</v>
      </c>
      <c r="O3" s="2">
        <f>VLOOKUP(Table1[[#This Row],[Characteristic profile]],Input_reference_conditions!$A$52:$F$69,6,FALSE)</f>
        <v>3900</v>
      </c>
      <c r="P3" s="2">
        <f>Table1[[#This Row],[Overall luminaire power after replacement (W)]]*Table1[[#This Row],[Working hours after replacement (hours per year)]]/1000</f>
        <v>812.17499999999995</v>
      </c>
      <c r="Q3" s="2">
        <f>Table1[[#This Row],[Energy consumption after replacement (kWh per year)]]*Input_price_assumptions!$B$8*(100%+Input_price_assumptions!$B$13)</f>
        <v>1376.6366249999999</v>
      </c>
      <c r="R3" s="2">
        <f>Table1[[#This Row],[Electricity costs (EUR per year, with VAT)]]-Table1[[#This Row],[Energy costs after replacement (EUR per year, with VAT)]]</f>
        <v>690.8396250000003</v>
      </c>
      <c r="S3" s="104"/>
      <c r="T3" s="7"/>
      <c r="U3" t="str">
        <f>IF(ISBLANK(Input_lamppost!U2),Input_lamppost!AH2,Input_lamppost!U2)</f>
        <v>D1</v>
      </c>
      <c r="V3" t="str">
        <f>IF(ISBLANK(Input_lamppost!X2),Table1[[#This Row],[Characteristic profile]],Input_lamppost!X2)</f>
        <v>M4</v>
      </c>
    </row>
  </sheetData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D2D07-29BF-E84B-909E-0831112660FF}">
  <dimension ref="B3:D12"/>
  <sheetViews>
    <sheetView workbookViewId="0">
      <selection activeCell="B5" sqref="B5"/>
    </sheetView>
  </sheetViews>
  <sheetFormatPr defaultColWidth="11.42578125" defaultRowHeight="15"/>
  <cols>
    <col min="2" max="2" width="21" customWidth="1"/>
  </cols>
  <sheetData>
    <row r="3" spans="2:4">
      <c r="B3" t="s">
        <v>242</v>
      </c>
    </row>
    <row r="5" spans="2:4">
      <c r="B5" s="29" t="s">
        <v>240</v>
      </c>
    </row>
    <row r="6" spans="2:4">
      <c r="B6" s="31" t="s">
        <v>243</v>
      </c>
      <c r="C6" s="4"/>
      <c r="D6" s="4" t="s">
        <v>244</v>
      </c>
    </row>
    <row r="7" spans="2:4">
      <c r="B7" s="31" t="s">
        <v>245</v>
      </c>
      <c r="C7" s="4"/>
      <c r="D7" s="4" t="s">
        <v>246</v>
      </c>
    </row>
    <row r="8" spans="2:4">
      <c r="B8" s="31" t="s">
        <v>247</v>
      </c>
      <c r="C8" s="4"/>
      <c r="D8" s="4" t="s">
        <v>244</v>
      </c>
    </row>
    <row r="9" spans="2:4">
      <c r="B9" s="31" t="s">
        <v>248</v>
      </c>
      <c r="C9" s="4"/>
      <c r="D9" s="4" t="s">
        <v>249</v>
      </c>
    </row>
    <row r="11" spans="2:4">
      <c r="B11" s="31" t="s">
        <v>250</v>
      </c>
      <c r="C11" s="4"/>
    </row>
    <row r="12" spans="2:4">
      <c r="B12" s="31" t="s">
        <v>251</v>
      </c>
      <c r="C12" s="4"/>
      <c r="D12" s="4" t="s">
        <v>249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0ed808-cdda-41e0-846a-fd93327d4947" xsi:nil="true"/>
    <lcf76f155ced4ddcb4097134ff3c332f xmlns="f405dac0-8f1a-4ee4-b2ea-e4900d108b04">
      <Terms xmlns="http://schemas.microsoft.com/office/infopath/2007/PartnerControls"/>
    </lcf76f155ced4ddcb4097134ff3c332f>
    <Podru_x010d_je xmlns="f405dac0-8f1a-4ee4-b2ea-e4900d108b04" xsi:nil="true"/>
    <Vrstadokumenta xmlns="f405dac0-8f1a-4ee4-b2ea-e4900d108b04" xsi:nil="true"/>
    <Opis_kratki xmlns="f405dac0-8f1a-4ee4-b2ea-e4900d108b04" xsi:nil="true"/>
    <Tema xmlns="f405dac0-8f1a-4ee4-b2ea-e4900d108b0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8EE2788C9CB419B11C63E9EB256BF" ma:contentTypeVersion="22" ma:contentTypeDescription="Create a new document." ma:contentTypeScope="" ma:versionID="9c6f404759d0c3b45e54abcdbec42849">
  <xsd:schema xmlns:xsd="http://www.w3.org/2001/XMLSchema" xmlns:xs="http://www.w3.org/2001/XMLSchema" xmlns:p="http://schemas.microsoft.com/office/2006/metadata/properties" xmlns:ns2="f405dac0-8f1a-4ee4-b2ea-e4900d108b04" xmlns:ns3="440ed808-cdda-41e0-846a-fd93327d4947" targetNamespace="http://schemas.microsoft.com/office/2006/metadata/properties" ma:root="true" ma:fieldsID="319d55fb6f73a571cb57522f2c5dec80" ns2:_="" ns3:_="">
    <xsd:import namespace="f405dac0-8f1a-4ee4-b2ea-e4900d108b04"/>
    <xsd:import namespace="440ed808-cdda-41e0-846a-fd93327d49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Vrstadokumenta" minOccurs="0"/>
                <xsd:element ref="ns2:Podru_x010d_je" minOccurs="0"/>
                <xsd:element ref="ns2:Tema" minOccurs="0"/>
                <xsd:element ref="ns2:Opis_kratki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05dac0-8f1a-4ee4-b2ea-e4900d108b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Vrstadokumenta" ma:index="21" nillable="true" ma:displayName="Vrsta dokumenta" ma:format="Dropdown" ma:internalName="Vrstadokumenta">
      <xsd:simpleType>
        <xsd:restriction base="dms:Text">
          <xsd:maxLength value="255"/>
        </xsd:restriction>
      </xsd:simpleType>
    </xsd:element>
    <xsd:element name="Podru_x010d_je" ma:index="22" nillable="true" ma:displayName="Područje" ma:format="Dropdown" ma:internalName="Podru_x010d_je">
      <xsd:simpleType>
        <xsd:restriction base="dms:Choice">
          <xsd:enumeration value="Zagrebačka županija"/>
          <xsd:enumeration value="Karlovačka županija"/>
          <xsd:enumeration value="Krapinsko-zagorska županija"/>
          <xsd:enumeration value="Grad Zagreb"/>
          <xsd:enumeration value="RH"/>
        </xsd:restriction>
      </xsd:simpleType>
    </xsd:element>
    <xsd:element name="Tema" ma:index="23" nillable="true" ma:displayName="Tema" ma:format="Dropdown" ma:internalName="Tema">
      <xsd:simpleType>
        <xsd:restriction base="dms:Choice">
          <xsd:enumeration value="Financije"/>
          <xsd:enumeration value="Zgradarstvo"/>
          <xsd:enumeration value="Promet"/>
        </xsd:restriction>
      </xsd:simpleType>
    </xsd:element>
    <xsd:element name="Opis_kratki" ma:index="24" nillable="true" ma:displayName="Opis_kratki" ma:format="Dropdown" ma:internalName="Opis_kratki">
      <xsd:simpleType>
        <xsd:restriction base="dms:Text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e705d6b0-662f-4cf4-99c3-1fb0316786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ed808-cdda-41e0-846a-fd93327d494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22350fdf-7897-4e61-83fb-63bd732ec30d}" ma:internalName="TaxCatchAll" ma:showField="CatchAllData" ma:web="440ed808-cdda-41e0-846a-fd93327d4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49E19E-41A1-4F4D-A40D-D6BAC13814A7}"/>
</file>

<file path=customXml/itemProps2.xml><?xml version="1.0" encoding="utf-8"?>
<ds:datastoreItem xmlns:ds="http://schemas.openxmlformats.org/officeDocument/2006/customXml" ds:itemID="{0704C385-B9FF-44F0-9937-0FEE217981FA}"/>
</file>

<file path=customXml/itemProps3.xml><?xml version="1.0" encoding="utf-8"?>
<ds:datastoreItem xmlns:ds="http://schemas.openxmlformats.org/officeDocument/2006/customXml" ds:itemID="{D86638E8-0F78-4FDA-9C73-403EDE37C6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/>
  <cp:revision/>
  <dcterms:created xsi:type="dcterms:W3CDTF">2022-09-05T11:03:03Z</dcterms:created>
  <dcterms:modified xsi:type="dcterms:W3CDTF">2024-03-18T08:34:13Z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0x01010078A8EE2788C9CB419B11C63E9EB256BF</vt:lpwstr>
  </property>
  <property fmtid="{D5CDD505-2E9C-101B-9397-08002B2CF9AE}" pid="3" name="MediaServiceImageTags">
    <vt:lpwstr/>
  </property>
</Properties>
</file>